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20" yWindow="5475" windowWidth="11310" windowHeight="7440" tabRatio="738"/>
  </bookViews>
  <sheets>
    <sheet name="energie" sheetId="12" r:id="rId1"/>
    <sheet name="Mines" sheetId="1" r:id="rId2"/>
    <sheet name="ZDR" sheetId="9" r:id="rId3"/>
    <sheet name="investissements (APII)" sheetId="2" r:id="rId4"/>
    <sheet name="balance commerciale" sheetId="6" r:id="rId5"/>
    <sheet name="EX+Impt" sheetId="19" r:id="rId6"/>
    <sheet name="IPI" sheetId="7" r:id="rId7"/>
    <sheet name="qualité" sheetId="13" r:id="rId8"/>
    <sheet name="pmn" sheetId="8" r:id="rId9"/>
    <sheet name="IDE" sheetId="10" r:id="rId10"/>
    <sheet name="pépinières" sheetId="11" r:id="rId11"/>
    <sheet name="centre affaire" sheetId="14" r:id="rId12"/>
    <sheet name="essaimage" sheetId="15" r:id="rId13"/>
    <sheet name="dev-reg -nouv promo" sheetId="16" r:id="rId14"/>
    <sheet name="Feuil1" sheetId="17" r:id="rId15"/>
    <sheet name="Feuil2" sheetId="18" r:id="rId16"/>
  </sheets>
  <externalReferences>
    <externalReference r:id="rId17"/>
    <externalReference r:id="rId18"/>
  </externalReferences>
  <calcPr calcId="125725"/>
  <fileRecoveryPr autoRecover="0"/>
</workbook>
</file>

<file path=xl/calcChain.xml><?xml version="1.0" encoding="utf-8"?>
<calcChain xmlns="http://schemas.openxmlformats.org/spreadsheetml/2006/main">
  <c r="S7" i="1"/>
  <c r="T7"/>
  <c r="U7"/>
  <c r="W7" s="1"/>
  <c r="S10"/>
  <c r="T10"/>
  <c r="U10"/>
  <c r="W10" s="1"/>
  <c r="S14"/>
  <c r="T14"/>
  <c r="U14"/>
  <c r="W14" s="1"/>
  <c r="M111"/>
  <c r="L111" s="1"/>
  <c r="N111"/>
  <c r="O111"/>
  <c r="AB111"/>
  <c r="AC111"/>
  <c r="K112"/>
  <c r="M112"/>
  <c r="L112" s="1"/>
  <c r="N112"/>
  <c r="O112"/>
  <c r="Y112"/>
  <c r="Z112"/>
  <c r="AA112"/>
  <c r="AA111" s="1"/>
  <c r="AB112"/>
  <c r="AC112"/>
  <c r="Y113"/>
  <c r="Y111" s="1"/>
  <c r="Z113"/>
  <c r="Z111" s="1"/>
  <c r="AA113"/>
  <c r="AD113"/>
  <c r="M113" s="1"/>
  <c r="AE113"/>
  <c r="N113" s="1"/>
  <c r="E8" s="1"/>
  <c r="L8" s="1"/>
  <c r="AF113"/>
  <c r="S8" s="1"/>
  <c r="K114"/>
  <c r="L114"/>
  <c r="M114"/>
  <c r="N114"/>
  <c r="O114"/>
  <c r="AB114"/>
  <c r="AC114"/>
  <c r="M115"/>
  <c r="K115" s="1"/>
  <c r="N115"/>
  <c r="O115"/>
  <c r="Y115"/>
  <c r="Z115"/>
  <c r="Z114" s="1"/>
  <c r="Z117" s="1"/>
  <c r="AA115"/>
  <c r="AA114" s="1"/>
  <c r="AA117" s="1"/>
  <c r="AB115"/>
  <c r="AC115"/>
  <c r="Y116"/>
  <c r="Y114" s="1"/>
  <c r="Y117" s="1"/>
  <c r="Z116"/>
  <c r="AA116"/>
  <c r="AB116"/>
  <c r="AD116"/>
  <c r="M116" s="1"/>
  <c r="AE116"/>
  <c r="T11" s="1"/>
  <c r="AF116"/>
  <c r="S11" s="1"/>
  <c r="AD117"/>
  <c r="U12" s="1"/>
  <c r="AE117"/>
  <c r="AB117" s="1"/>
  <c r="AF117"/>
  <c r="S12" s="1"/>
  <c r="Y118"/>
  <c r="Z118"/>
  <c r="AA118"/>
  <c r="AD118"/>
  <c r="AB118" s="1"/>
  <c r="AE118"/>
  <c r="N118" s="1"/>
  <c r="E13" s="1"/>
  <c r="L13" s="1"/>
  <c r="AF118"/>
  <c r="S13" s="1"/>
  <c r="K119"/>
  <c r="L119"/>
  <c r="AB119"/>
  <c r="AC119"/>
  <c r="K124"/>
  <c r="L124"/>
  <c r="AB124"/>
  <c r="AC124"/>
  <c r="K126"/>
  <c r="L126"/>
  <c r="AB126"/>
  <c r="AC126"/>
  <c r="K127"/>
  <c r="L127"/>
  <c r="AB127"/>
  <c r="AC127"/>
  <c r="K128"/>
  <c r="L128"/>
  <c r="AB128"/>
  <c r="AC128"/>
  <c r="K129"/>
  <c r="L129"/>
  <c r="AB129"/>
  <c r="AC129"/>
  <c r="K130"/>
  <c r="L130"/>
  <c r="AB130"/>
  <c r="AC130"/>
  <c r="K138"/>
  <c r="L138"/>
  <c r="AB138"/>
  <c r="AC138"/>
  <c r="K140"/>
  <c r="L140"/>
  <c r="AB140"/>
  <c r="AC140"/>
  <c r="K141"/>
  <c r="L141"/>
  <c r="AB141"/>
  <c r="AC141"/>
  <c r="K142"/>
  <c r="L142"/>
  <c r="AB142"/>
  <c r="AC142"/>
  <c r="K143"/>
  <c r="L143"/>
  <c r="Y143"/>
  <c r="AB143"/>
  <c r="AC143"/>
  <c r="K144"/>
  <c r="L144"/>
  <c r="AB144"/>
  <c r="AC144"/>
  <c r="K148"/>
  <c r="L148"/>
  <c r="AB148"/>
  <c r="AC148"/>
  <c r="K150"/>
  <c r="L150"/>
  <c r="AB150"/>
  <c r="AC150"/>
  <c r="K151"/>
  <c r="L151"/>
  <c r="AB151"/>
  <c r="AC151"/>
  <c r="K152"/>
  <c r="L152"/>
  <c r="Y152"/>
  <c r="AB152"/>
  <c r="AC152"/>
  <c r="K153"/>
  <c r="L153"/>
  <c r="AB153"/>
  <c r="AC153"/>
  <c r="K154"/>
  <c r="L154"/>
  <c r="AB154"/>
  <c r="AC154"/>
  <c r="Y158"/>
  <c r="Z158"/>
  <c r="AA158"/>
  <c r="AB158"/>
  <c r="AD158"/>
  <c r="AE158"/>
  <c r="AF158"/>
  <c r="AC158" s="1"/>
  <c r="Y159"/>
  <c r="Z159"/>
  <c r="AA159"/>
  <c r="AB159"/>
  <c r="AD159"/>
  <c r="AE159"/>
  <c r="AF159"/>
  <c r="AC159" s="1"/>
  <c r="Y160"/>
  <c r="Z160"/>
  <c r="AA160"/>
  <c r="AB160"/>
  <c r="AD160"/>
  <c r="AE160"/>
  <c r="AF160"/>
  <c r="AC160" s="1"/>
  <c r="H28" i="7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I27"/>
  <c r="J27"/>
  <c r="H27"/>
  <c r="D8"/>
  <c r="D17"/>
  <c r="D32" i="1"/>
  <c r="D89"/>
  <c r="D88"/>
  <c r="D87"/>
  <c r="D86"/>
  <c r="D85"/>
  <c r="D83"/>
  <c r="D64"/>
  <c r="E64"/>
  <c r="L64" s="1"/>
  <c r="D63"/>
  <c r="D62"/>
  <c r="D61"/>
  <c r="D60"/>
  <c r="D58"/>
  <c r="D35"/>
  <c r="D38"/>
  <c r="D37"/>
  <c r="D36"/>
  <c r="D34"/>
  <c r="I21" i="9"/>
  <c r="H21"/>
  <c r="B21"/>
  <c r="C21"/>
  <c r="E21"/>
  <c r="F21"/>
  <c r="E29" s="1"/>
  <c r="G32" i="16"/>
  <c r="F32"/>
  <c r="G31"/>
  <c r="F31"/>
  <c r="G30"/>
  <c r="F30"/>
  <c r="G29"/>
  <c r="F29"/>
  <c r="G13"/>
  <c r="F13"/>
  <c r="G12"/>
  <c r="F12"/>
  <c r="G11"/>
  <c r="F11"/>
  <c r="G10"/>
  <c r="F10"/>
  <c r="G24" i="11"/>
  <c r="F24"/>
  <c r="V34" i="2"/>
  <c r="W34"/>
  <c r="V35"/>
  <c r="W35"/>
  <c r="V36"/>
  <c r="W36"/>
  <c r="V37"/>
  <c r="W37"/>
  <c r="V38"/>
  <c r="W38"/>
  <c r="V39"/>
  <c r="W39"/>
  <c r="W33"/>
  <c r="V33"/>
  <c r="R34"/>
  <c r="S34"/>
  <c r="T34"/>
  <c r="R35"/>
  <c r="S35"/>
  <c r="T35"/>
  <c r="R36"/>
  <c r="S36"/>
  <c r="T36"/>
  <c r="R37"/>
  <c r="S37"/>
  <c r="T37"/>
  <c r="R38"/>
  <c r="S38"/>
  <c r="T38"/>
  <c r="R39"/>
  <c r="S39"/>
  <c r="T39"/>
  <c r="S33"/>
  <c r="T33"/>
  <c r="R33"/>
  <c r="P34"/>
  <c r="Q34"/>
  <c r="P35"/>
  <c r="Q35"/>
  <c r="P36"/>
  <c r="Q36"/>
  <c r="P37"/>
  <c r="Q37"/>
  <c r="P38"/>
  <c r="Q38"/>
  <c r="P39"/>
  <c r="Q39"/>
  <c r="Q33"/>
  <c r="P33"/>
  <c r="V40"/>
  <c r="W40"/>
  <c r="U40"/>
  <c r="C5"/>
  <c r="D5"/>
  <c r="T40"/>
  <c r="Q40"/>
  <c r="O40"/>
  <c r="G40"/>
  <c r="R40" s="1"/>
  <c r="M7"/>
  <c r="M8"/>
  <c r="M9"/>
  <c r="M10"/>
  <c r="M11"/>
  <c r="M12"/>
  <c r="M6"/>
  <c r="L40"/>
  <c r="I40"/>
  <c r="AI112" i="1"/>
  <c r="AJ112"/>
  <c r="AK112"/>
  <c r="AI113"/>
  <c r="AJ113"/>
  <c r="AK113"/>
  <c r="AI114"/>
  <c r="AJ114"/>
  <c r="AK114"/>
  <c r="AI115"/>
  <c r="AJ115"/>
  <c r="AK115"/>
  <c r="AI116"/>
  <c r="AJ116"/>
  <c r="AK116"/>
  <c r="AI117"/>
  <c r="AJ117"/>
  <c r="AK117"/>
  <c r="AI118"/>
  <c r="AJ118"/>
  <c r="AK118"/>
  <c r="AK111"/>
  <c r="AJ111"/>
  <c r="AI111"/>
  <c r="F29" i="9"/>
  <c r="F10" i="1"/>
  <c r="G10" s="1"/>
  <c r="J10" s="1"/>
  <c r="E10"/>
  <c r="L10" s="1"/>
  <c r="D10"/>
  <c r="F7"/>
  <c r="K7" s="1"/>
  <c r="E7"/>
  <c r="L7" s="1"/>
  <c r="L6" s="1"/>
  <c r="D7"/>
  <c r="F11" l="1"/>
  <c r="L116"/>
  <c r="T9"/>
  <c r="S6"/>
  <c r="K113"/>
  <c r="F8"/>
  <c r="W12"/>
  <c r="L9"/>
  <c r="S9"/>
  <c r="AC118"/>
  <c r="M117"/>
  <c r="N116"/>
  <c r="E11" s="1"/>
  <c r="L11" s="1"/>
  <c r="L115"/>
  <c r="AB113"/>
  <c r="O113"/>
  <c r="D8" s="1"/>
  <c r="D6" s="1"/>
  <c r="K111"/>
  <c r="T13"/>
  <c r="T12"/>
  <c r="V12" s="1"/>
  <c r="T8"/>
  <c r="T6" s="1"/>
  <c r="M118"/>
  <c r="N117"/>
  <c r="E12" s="1"/>
  <c r="L12" s="1"/>
  <c r="O116"/>
  <c r="D11" s="1"/>
  <c r="D9" s="1"/>
  <c r="AC113"/>
  <c r="U13"/>
  <c r="U11"/>
  <c r="K10"/>
  <c r="U9"/>
  <c r="U8"/>
  <c r="O117"/>
  <c r="D12" s="1"/>
  <c r="AC116"/>
  <c r="V14"/>
  <c r="V10"/>
  <c r="V7"/>
  <c r="H7"/>
  <c r="O118"/>
  <c r="D13" s="1"/>
  <c r="AC117"/>
  <c r="G11"/>
  <c r="J11" s="1"/>
  <c r="H10"/>
  <c r="M5" i="2"/>
  <c r="W8" i="1" l="1"/>
  <c r="V8"/>
  <c r="L117"/>
  <c r="K117"/>
  <c r="F12"/>
  <c r="H11"/>
  <c r="K11"/>
  <c r="W13"/>
  <c r="V13"/>
  <c r="W11"/>
  <c r="V11"/>
  <c r="U6"/>
  <c r="K116"/>
  <c r="W9"/>
  <c r="V9"/>
  <c r="K118"/>
  <c r="L118"/>
  <c r="F13"/>
  <c r="H8"/>
  <c r="K8"/>
  <c r="K6" s="1"/>
  <c r="K9"/>
  <c r="L113"/>
  <c r="E65" i="19"/>
  <c r="D65"/>
  <c r="C65"/>
  <c r="B65"/>
  <c r="S5"/>
  <c r="R5"/>
  <c r="Q5"/>
  <c r="H13" i="1" l="1"/>
  <c r="K13"/>
  <c r="G13"/>
  <c r="J13" s="1"/>
  <c r="H12"/>
  <c r="K12"/>
  <c r="W6"/>
  <c r="V6"/>
  <c r="K13" i="14"/>
  <c r="K14"/>
  <c r="K15"/>
  <c r="K16"/>
  <c r="K17"/>
  <c r="K12"/>
  <c r="I17"/>
  <c r="I13"/>
  <c r="I14"/>
  <c r="I15"/>
  <c r="I16"/>
  <c r="I12"/>
  <c r="P8" i="10"/>
  <c r="Q13" s="1"/>
  <c r="P9"/>
  <c r="L6"/>
  <c r="M6"/>
  <c r="N6"/>
  <c r="N5"/>
  <c r="M5"/>
  <c r="L5"/>
  <c r="L3"/>
  <c r="M3"/>
  <c r="N3"/>
  <c r="E14"/>
  <c r="F14"/>
  <c r="G14"/>
  <c r="D14"/>
  <c r="E13"/>
  <c r="F13"/>
  <c r="G13"/>
  <c r="D13"/>
  <c r="F12"/>
  <c r="E12"/>
  <c r="D12"/>
  <c r="G12"/>
  <c r="N8"/>
  <c r="O13" s="1"/>
  <c r="O8"/>
  <c r="N9"/>
  <c r="O9"/>
  <c r="P14" s="1"/>
  <c r="Q14"/>
  <c r="M9"/>
  <c r="N14" s="1"/>
  <c r="M8"/>
  <c r="N10"/>
  <c r="O10"/>
  <c r="P10"/>
  <c r="M10"/>
  <c r="O15"/>
  <c r="P15"/>
  <c r="Q15"/>
  <c r="N15"/>
  <c r="O14"/>
  <c r="P13"/>
  <c r="N13"/>
  <c r="C55" i="19" l="1"/>
  <c r="P24" i="9"/>
  <c r="F12" i="2"/>
  <c r="I12" s="1"/>
  <c r="F11"/>
  <c r="I11" s="1"/>
  <c r="F10"/>
  <c r="I10" s="1"/>
  <c r="F9"/>
  <c r="I9" s="1"/>
  <c r="F8"/>
  <c r="I8" s="1"/>
  <c r="F7"/>
  <c r="I7" s="1"/>
  <c r="F42" i="9"/>
  <c r="F41"/>
  <c r="E40"/>
  <c r="D40"/>
  <c r="E38"/>
  <c r="D38"/>
  <c r="E5" i="2" l="1"/>
  <c r="F6"/>
  <c r="I6" s="1"/>
  <c r="F14" i="1"/>
  <c r="E14"/>
  <c r="L14" s="1"/>
  <c r="H14" l="1"/>
  <c r="K14"/>
  <c r="K5" i="2"/>
  <c r="F5"/>
  <c r="I5" s="1"/>
  <c r="F9" i="19"/>
  <c r="F89" i="1"/>
  <c r="E89"/>
  <c r="L89" s="1"/>
  <c r="E88"/>
  <c r="L88" s="1"/>
  <c r="F88"/>
  <c r="F87"/>
  <c r="E87"/>
  <c r="L87" s="1"/>
  <c r="E86"/>
  <c r="L86" s="1"/>
  <c r="F86"/>
  <c r="F85"/>
  <c r="E85"/>
  <c r="L85" s="1"/>
  <c r="F83"/>
  <c r="E83"/>
  <c r="L83" s="1"/>
  <c r="F63"/>
  <c r="E63"/>
  <c r="L63" s="1"/>
  <c r="F64"/>
  <c r="E62"/>
  <c r="L62" s="1"/>
  <c r="F62"/>
  <c r="F61"/>
  <c r="E61"/>
  <c r="L61" s="1"/>
  <c r="E60"/>
  <c r="L60" s="1"/>
  <c r="F60"/>
  <c r="F58"/>
  <c r="E58"/>
  <c r="L58" s="1"/>
  <c r="F38"/>
  <c r="E38"/>
  <c r="L38" s="1"/>
  <c r="E37"/>
  <c r="L37" s="1"/>
  <c r="F37"/>
  <c r="F36"/>
  <c r="E36"/>
  <c r="L36" s="1"/>
  <c r="E35"/>
  <c r="L35" s="1"/>
  <c r="F35"/>
  <c r="F34"/>
  <c r="E34"/>
  <c r="L34" s="1"/>
  <c r="F32"/>
  <c r="E32"/>
  <c r="L32" s="1"/>
  <c r="H58" l="1"/>
  <c r="K58"/>
  <c r="J58" s="1"/>
  <c r="H61"/>
  <c r="K61"/>
  <c r="J61" s="1"/>
  <c r="H35"/>
  <c r="M35"/>
  <c r="K35"/>
  <c r="J35" s="1"/>
  <c r="H37"/>
  <c r="M37"/>
  <c r="K37"/>
  <c r="J37" s="1"/>
  <c r="H64"/>
  <c r="K64"/>
  <c r="J64" s="1"/>
  <c r="H83"/>
  <c r="K83"/>
  <c r="J83" s="1"/>
  <c r="H36"/>
  <c r="M36"/>
  <c r="K36"/>
  <c r="J36" s="1"/>
  <c r="H38"/>
  <c r="M38"/>
  <c r="K38"/>
  <c r="J38" s="1"/>
  <c r="H86"/>
  <c r="K86"/>
  <c r="J86" s="1"/>
  <c r="H88"/>
  <c r="K88"/>
  <c r="J88" s="1"/>
  <c r="H32"/>
  <c r="M32"/>
  <c r="K32"/>
  <c r="J32" s="1"/>
  <c r="H34"/>
  <c r="M34"/>
  <c r="K34"/>
  <c r="J34" s="1"/>
  <c r="H60"/>
  <c r="K60"/>
  <c r="J60" s="1"/>
  <c r="H62"/>
  <c r="K62"/>
  <c r="J62" s="1"/>
  <c r="H63"/>
  <c r="K63"/>
  <c r="J63" s="1"/>
  <c r="H85"/>
  <c r="K85"/>
  <c r="J85" s="1"/>
  <c r="H87"/>
  <c r="K87"/>
  <c r="J87" s="1"/>
  <c r="H89"/>
  <c r="K89"/>
  <c r="J89" s="1"/>
  <c r="C6" i="12"/>
  <c r="C13"/>
  <c r="B13"/>
  <c r="B6"/>
  <c r="E9" i="1"/>
  <c r="F9"/>
  <c r="H9" s="1"/>
  <c r="F6"/>
  <c r="H6" s="1"/>
  <c r="E6"/>
  <c r="H17" i="8" l="1"/>
  <c r="I17"/>
  <c r="D17"/>
  <c r="G17" s="1"/>
  <c r="G17" i="14"/>
  <c r="J17" s="1"/>
  <c r="G16"/>
  <c r="J16" s="1"/>
  <c r="G15"/>
  <c r="J15" s="1"/>
  <c r="G14"/>
  <c r="J14" s="1"/>
  <c r="G13"/>
  <c r="J13" s="1"/>
  <c r="G12"/>
  <c r="J12" s="1"/>
  <c r="J11" i="10"/>
  <c r="I11"/>
  <c r="H11"/>
  <c r="J10"/>
  <c r="I10"/>
  <c r="H10"/>
  <c r="J8"/>
  <c r="I8"/>
  <c r="H8"/>
  <c r="I22" i="8"/>
  <c r="H22"/>
  <c r="D22"/>
  <c r="I21"/>
  <c r="H21"/>
  <c r="D21"/>
  <c r="I20"/>
  <c r="H20"/>
  <c r="D20"/>
  <c r="G21" l="1"/>
  <c r="G22"/>
  <c r="G20"/>
  <c r="I16"/>
  <c r="H16"/>
  <c r="D16"/>
  <c r="I15"/>
  <c r="H15"/>
  <c r="D15"/>
  <c r="I14"/>
  <c r="H14"/>
  <c r="D14"/>
  <c r="I11"/>
  <c r="H11"/>
  <c r="D11"/>
  <c r="I10"/>
  <c r="H10"/>
  <c r="D10"/>
  <c r="I9"/>
  <c r="H9"/>
  <c r="D9"/>
  <c r="I8"/>
  <c r="H8"/>
  <c r="D8"/>
  <c r="I7"/>
  <c r="H7"/>
  <c r="D7"/>
  <c r="B54" i="13"/>
  <c r="B50"/>
  <c r="B40"/>
  <c r="C15"/>
  <c r="J18" i="7"/>
  <c r="I18"/>
  <c r="D18"/>
  <c r="H18" s="1"/>
  <c r="J17"/>
  <c r="I17"/>
  <c r="H17"/>
  <c r="J13"/>
  <c r="I13"/>
  <c r="D13"/>
  <c r="H13" s="1"/>
  <c r="J12"/>
  <c r="I12"/>
  <c r="H12"/>
  <c r="J11"/>
  <c r="I11"/>
  <c r="D11"/>
  <c r="H11" s="1"/>
  <c r="J10"/>
  <c r="I10"/>
  <c r="D10"/>
  <c r="H10" s="1"/>
  <c r="J9"/>
  <c r="I9"/>
  <c r="D9"/>
  <c r="H9" s="1"/>
  <c r="J8"/>
  <c r="I8"/>
  <c r="H8"/>
  <c r="D62" i="19"/>
  <c r="C62"/>
  <c r="G61"/>
  <c r="F61"/>
  <c r="E61"/>
  <c r="G8" i="8" l="1"/>
  <c r="B56" i="13"/>
  <c r="G16" i="8"/>
  <c r="G14"/>
  <c r="G15"/>
  <c r="G9"/>
  <c r="G10"/>
  <c r="G7"/>
  <c r="G11"/>
  <c r="C61" i="19"/>
  <c r="D61"/>
  <c r="D60"/>
  <c r="C60"/>
  <c r="B60"/>
  <c r="D59"/>
  <c r="C59"/>
  <c r="B59"/>
  <c r="D58"/>
  <c r="C58"/>
  <c r="B58"/>
  <c r="D57"/>
  <c r="C57"/>
  <c r="B57"/>
  <c r="D55"/>
  <c r="B55"/>
  <c r="D54"/>
  <c r="C54"/>
  <c r="B54"/>
  <c r="D53"/>
  <c r="C53"/>
  <c r="B53"/>
  <c r="M40"/>
  <c r="L40"/>
  <c r="K40"/>
  <c r="F40"/>
  <c r="E40"/>
  <c r="Q39"/>
  <c r="M39"/>
  <c r="L39"/>
  <c r="K39"/>
  <c r="F39"/>
  <c r="E39"/>
  <c r="Q38"/>
  <c r="M38"/>
  <c r="L38"/>
  <c r="K38"/>
  <c r="F38"/>
  <c r="E38"/>
  <c r="J38" s="1"/>
  <c r="Q37"/>
  <c r="M37"/>
  <c r="L37"/>
  <c r="K37"/>
  <c r="F37"/>
  <c r="E37"/>
  <c r="Q36"/>
  <c r="M36"/>
  <c r="L36"/>
  <c r="K36"/>
  <c r="F36"/>
  <c r="E36"/>
  <c r="M35"/>
  <c r="L35"/>
  <c r="K35"/>
  <c r="F35"/>
  <c r="E35"/>
  <c r="Q34"/>
  <c r="P34"/>
  <c r="M34"/>
  <c r="L34"/>
  <c r="K34"/>
  <c r="F34"/>
  <c r="E34"/>
  <c r="Q33"/>
  <c r="M33"/>
  <c r="L33"/>
  <c r="K33"/>
  <c r="F33"/>
  <c r="E33"/>
  <c r="J40" l="1"/>
  <c r="K32"/>
  <c r="Q35"/>
  <c r="J35"/>
  <c r="I35" s="1"/>
  <c r="B61"/>
  <c r="J33"/>
  <c r="J37"/>
  <c r="I37" s="1"/>
  <c r="I38"/>
  <c r="I33"/>
  <c r="I40"/>
  <c r="J36"/>
  <c r="I36" s="1"/>
  <c r="J34"/>
  <c r="I34" s="1"/>
  <c r="J39"/>
  <c r="I39" s="1"/>
  <c r="D32"/>
  <c r="C32"/>
  <c r="B32"/>
  <c r="M32" s="1"/>
  <c r="M13"/>
  <c r="L13"/>
  <c r="K13"/>
  <c r="F13"/>
  <c r="E13"/>
  <c r="M12"/>
  <c r="L12"/>
  <c r="K12"/>
  <c r="F12"/>
  <c r="E12"/>
  <c r="M11"/>
  <c r="L11"/>
  <c r="K11"/>
  <c r="F11"/>
  <c r="E11"/>
  <c r="M10"/>
  <c r="L10"/>
  <c r="K10"/>
  <c r="F10"/>
  <c r="E10"/>
  <c r="M8"/>
  <c r="L8"/>
  <c r="K8"/>
  <c r="F8"/>
  <c r="E8"/>
  <c r="M9"/>
  <c r="L9"/>
  <c r="K9"/>
  <c r="E9"/>
  <c r="M7"/>
  <c r="L7"/>
  <c r="K7"/>
  <c r="F7"/>
  <c r="E7"/>
  <c r="M6"/>
  <c r="L6"/>
  <c r="K6"/>
  <c r="F6"/>
  <c r="E6"/>
  <c r="E32" l="1"/>
  <c r="J32" s="1"/>
  <c r="J6"/>
  <c r="J10"/>
  <c r="M5"/>
  <c r="L32"/>
  <c r="L5"/>
  <c r="J7"/>
  <c r="I7" s="1"/>
  <c r="J11"/>
  <c r="I11" s="1"/>
  <c r="I6"/>
  <c r="I10"/>
  <c r="J13"/>
  <c r="I13" s="1"/>
  <c r="K5"/>
  <c r="J8"/>
  <c r="I8" s="1"/>
  <c r="J9"/>
  <c r="I9" s="1"/>
  <c r="J12"/>
  <c r="I12" s="1"/>
  <c r="D5"/>
  <c r="C5"/>
  <c r="B5"/>
  <c r="M14" i="6"/>
  <c r="L14"/>
  <c r="J14"/>
  <c r="F14"/>
  <c r="M13"/>
  <c r="L13"/>
  <c r="J13"/>
  <c r="F13"/>
  <c r="M12"/>
  <c r="L12"/>
  <c r="F12"/>
  <c r="M11"/>
  <c r="L11"/>
  <c r="J11"/>
  <c r="F11"/>
  <c r="M10"/>
  <c r="L10"/>
  <c r="J10"/>
  <c r="F10"/>
  <c r="M9"/>
  <c r="L9"/>
  <c r="J9"/>
  <c r="F9"/>
  <c r="M8"/>
  <c r="L8"/>
  <c r="J8"/>
  <c r="F8"/>
  <c r="M7"/>
  <c r="L7"/>
  <c r="L6" s="1"/>
  <c r="J7"/>
  <c r="F7"/>
  <c r="M6" l="1"/>
  <c r="F5" i="19"/>
  <c r="E5"/>
  <c r="J5" s="1"/>
  <c r="I6" i="6"/>
  <c r="H6"/>
  <c r="E6"/>
  <c r="D6"/>
  <c r="K40" i="2"/>
  <c r="H40"/>
  <c r="S40" s="1"/>
  <c r="F40"/>
  <c r="E40"/>
  <c r="P40" l="1"/>
  <c r="J6" i="6"/>
  <c r="F6"/>
  <c r="I5" i="19"/>
  <c r="L12" i="2"/>
  <c r="K12"/>
  <c r="G12"/>
  <c r="J12" s="1"/>
  <c r="L11"/>
  <c r="K11"/>
  <c r="G11"/>
  <c r="J11" s="1"/>
  <c r="L10"/>
  <c r="K10"/>
  <c r="G10"/>
  <c r="J10" s="1"/>
  <c r="L9" l="1"/>
  <c r="K9"/>
  <c r="G9"/>
  <c r="J9" s="1"/>
  <c r="L8"/>
  <c r="K8"/>
  <c r="G8"/>
  <c r="J8" s="1"/>
  <c r="L7"/>
  <c r="K7"/>
  <c r="G7"/>
  <c r="J7" s="1"/>
  <c r="L6"/>
  <c r="K6"/>
  <c r="G6"/>
  <c r="J6" l="1"/>
  <c r="S22" i="9"/>
  <c r="R22"/>
  <c r="Q22"/>
  <c r="P22"/>
  <c r="O22"/>
  <c r="N22"/>
  <c r="M22"/>
  <c r="S21"/>
  <c r="R21"/>
  <c r="Q21"/>
  <c r="P21"/>
  <c r="O21"/>
  <c r="N21"/>
  <c r="M21"/>
  <c r="S20"/>
  <c r="R20"/>
  <c r="Q20"/>
  <c r="U20" s="1"/>
  <c r="P20"/>
  <c r="O20"/>
  <c r="N20"/>
  <c r="M20"/>
  <c r="S19"/>
  <c r="R19"/>
  <c r="Q19"/>
  <c r="P19"/>
  <c r="O19"/>
  <c r="N19"/>
  <c r="M19"/>
  <c r="S18"/>
  <c r="R18"/>
  <c r="Q18"/>
  <c r="P18"/>
  <c r="O18"/>
  <c r="N18"/>
  <c r="M18"/>
  <c r="S17"/>
  <c r="R17"/>
  <c r="Q17"/>
  <c r="U17" s="1"/>
  <c r="P17"/>
  <c r="O17"/>
  <c r="N17"/>
  <c r="M17"/>
  <c r="S16"/>
  <c r="R16"/>
  <c r="Q16"/>
  <c r="U16" s="1"/>
  <c r="P16"/>
  <c r="O16"/>
  <c r="N16"/>
  <c r="M16"/>
  <c r="S15"/>
  <c r="R15"/>
  <c r="Q15"/>
  <c r="P15"/>
  <c r="O15"/>
  <c r="N15"/>
  <c r="M15"/>
  <c r="S14"/>
  <c r="R14"/>
  <c r="Q14"/>
  <c r="U14" s="1"/>
  <c r="P14"/>
  <c r="O14"/>
  <c r="N14"/>
  <c r="M14"/>
  <c r="S13"/>
  <c r="R13"/>
  <c r="Q13"/>
  <c r="U13" s="1"/>
  <c r="P13"/>
  <c r="O13"/>
  <c r="N13"/>
  <c r="M13"/>
  <c r="S12"/>
  <c r="R12"/>
  <c r="Q12"/>
  <c r="U12" s="1"/>
  <c r="P12"/>
  <c r="O12"/>
  <c r="N12"/>
  <c r="M12"/>
  <c r="S11"/>
  <c r="R11"/>
  <c r="Q11"/>
  <c r="U11" s="1"/>
  <c r="P11"/>
  <c r="O11"/>
  <c r="N11"/>
  <c r="M11"/>
  <c r="S10"/>
  <c r="R10"/>
  <c r="Q10"/>
  <c r="U10" s="1"/>
  <c r="P10"/>
  <c r="O10"/>
  <c r="N10"/>
  <c r="M10"/>
  <c r="S9"/>
  <c r="R9"/>
  <c r="Q9"/>
  <c r="U9" s="1"/>
  <c r="P9"/>
  <c r="O9"/>
  <c r="N9"/>
  <c r="M9"/>
  <c r="S8"/>
  <c r="R8"/>
  <c r="Q8"/>
  <c r="U8" s="1"/>
  <c r="P8"/>
  <c r="O8"/>
  <c r="N8"/>
  <c r="M8"/>
  <c r="S7"/>
  <c r="R7"/>
  <c r="Q7"/>
  <c r="U7" s="1"/>
  <c r="P7"/>
  <c r="O7"/>
  <c r="N7"/>
  <c r="M7"/>
  <c r="S6"/>
  <c r="R6"/>
  <c r="Q6"/>
  <c r="U6" s="1"/>
  <c r="P6"/>
  <c r="O6"/>
  <c r="N6"/>
  <c r="M6"/>
  <c r="S5"/>
  <c r="R5"/>
  <c r="Q5"/>
  <c r="U5" s="1"/>
  <c r="P5"/>
  <c r="O5"/>
  <c r="N5"/>
  <c r="M5"/>
  <c r="S4"/>
  <c r="R4"/>
  <c r="Q4"/>
  <c r="U4" s="1"/>
  <c r="P4"/>
  <c r="O4"/>
  <c r="N4"/>
  <c r="M4"/>
  <c r="N3"/>
  <c r="U19" l="1"/>
  <c r="U18"/>
  <c r="L5" i="2"/>
  <c r="G5"/>
  <c r="J5" s="1"/>
  <c r="S3" i="9"/>
  <c r="U15"/>
  <c r="O24"/>
  <c r="G89" i="1"/>
  <c r="G88"/>
  <c r="G87"/>
  <c r="G86"/>
  <c r="G85"/>
  <c r="G83"/>
  <c r="G64"/>
  <c r="G63"/>
  <c r="G62"/>
  <c r="G61"/>
  <c r="G60"/>
  <c r="M3" i="9" l="1"/>
  <c r="R3" s="1"/>
  <c r="G58" i="1"/>
  <c r="G38"/>
  <c r="O3" i="9" l="1"/>
  <c r="G37" i="1"/>
  <c r="G36"/>
  <c r="G35"/>
  <c r="G34"/>
  <c r="G32"/>
  <c r="G14"/>
  <c r="J14" s="1"/>
  <c r="G12" l="1"/>
  <c r="J12" s="1"/>
  <c r="G9" l="1"/>
  <c r="J9" s="1"/>
  <c r="G8"/>
  <c r="J8" s="1"/>
  <c r="G7"/>
  <c r="J7" s="1"/>
  <c r="G6"/>
  <c r="J6" s="1"/>
  <c r="D61" i="12" l="1"/>
  <c r="D60"/>
  <c r="D52"/>
  <c r="C17" l="1"/>
  <c r="B17"/>
  <c r="D16"/>
  <c r="D15"/>
  <c r="D14"/>
  <c r="D13"/>
  <c r="D12"/>
  <c r="D11"/>
  <c r="D9"/>
  <c r="D8"/>
  <c r="D7"/>
  <c r="D17" l="1"/>
  <c r="D6"/>
  <c r="F32" i="19"/>
  <c r="I32" s="1"/>
  <c r="Q3" i="9"/>
  <c r="U3" s="1"/>
  <c r="P3"/>
</calcChain>
</file>

<file path=xl/sharedStrings.xml><?xml version="1.0" encoding="utf-8"?>
<sst xmlns="http://schemas.openxmlformats.org/spreadsheetml/2006/main" count="896" uniqueCount="416">
  <si>
    <t>-</t>
  </si>
  <si>
    <t>Phosphate</t>
  </si>
  <si>
    <t>dérivés phosphatés</t>
  </si>
  <si>
    <t xml:space="preserve">export </t>
  </si>
  <si>
    <t>local</t>
  </si>
  <si>
    <t>فسفاط</t>
  </si>
  <si>
    <t>تصدير</t>
  </si>
  <si>
    <t>محلي</t>
  </si>
  <si>
    <t>مشتقات الفسفاط</t>
  </si>
  <si>
    <t>الانتاج (الف طن)</t>
  </si>
  <si>
    <t>Acide Phosphorique 54%</t>
  </si>
  <si>
    <t>TSP</t>
  </si>
  <si>
    <t>DAP</t>
  </si>
  <si>
    <t>DCP</t>
  </si>
  <si>
    <t>الحامض الفسفوري 54%</t>
  </si>
  <si>
    <t>ثلاثي فسفاط الرفيع</t>
  </si>
  <si>
    <t>ثاني فسفاط الأمونيا</t>
  </si>
  <si>
    <t>ثاني فسفاط الكلس</t>
  </si>
  <si>
    <t>فسفاط السوديوم</t>
  </si>
  <si>
    <t>التصدير (الف طن)</t>
  </si>
  <si>
    <t>المبيعات المحلية (الف طن)</t>
  </si>
  <si>
    <t>Total Industrie</t>
  </si>
  <si>
    <t>IAA</t>
  </si>
  <si>
    <t>ID</t>
  </si>
  <si>
    <t>IMCCV</t>
  </si>
  <si>
    <t>IME</t>
  </si>
  <si>
    <t>ICH</t>
  </si>
  <si>
    <t>ITH</t>
  </si>
  <si>
    <t>ICC</t>
  </si>
  <si>
    <t>Evol. (%)</t>
  </si>
  <si>
    <t>مجموع الصناعات المعملية</t>
  </si>
  <si>
    <t>الصناعات الغذائية</t>
  </si>
  <si>
    <t>الصناعات المختلفة</t>
  </si>
  <si>
    <t>صناعات مواد البناء والخزف والبلور</t>
  </si>
  <si>
    <t>الصناعات الميكانيكية والكهربائية</t>
  </si>
  <si>
    <t>الصيناعات الكيميائية</t>
  </si>
  <si>
    <t>صناعة النسيج والملابس</t>
  </si>
  <si>
    <t>صناعة الجلود والاحذية</t>
  </si>
  <si>
    <t>الاستثمارات المصرح بها في قطاع الصناعة (م.د)</t>
  </si>
  <si>
    <t>investissements déclarés dans l'industrie (MD)</t>
  </si>
  <si>
    <t>Exportations industrielles (MD)</t>
  </si>
  <si>
    <t>الصادرات الصناعية (م.د)</t>
  </si>
  <si>
    <t>Importations</t>
  </si>
  <si>
    <t>Balance commerciale (MD)</t>
  </si>
  <si>
    <t xml:space="preserve">Exportations </t>
  </si>
  <si>
    <t>Solde</t>
  </si>
  <si>
    <t>Total des biens</t>
  </si>
  <si>
    <t>Projets</t>
  </si>
  <si>
    <t>Emplois</t>
  </si>
  <si>
    <t xml:space="preserve"> مواطن الشغل</t>
  </si>
  <si>
    <t>الاستثمارات (م.د)</t>
  </si>
  <si>
    <t xml:space="preserve"> عدد المشاريع</t>
  </si>
  <si>
    <t>الصناعات الغذائية و الفلاحية</t>
  </si>
  <si>
    <t>صناعات مواد البناء و الخزف و البلور</t>
  </si>
  <si>
    <t>الصناعات المكانيكية و الكهربائية</t>
  </si>
  <si>
    <t>الصناعات الكميائية</t>
  </si>
  <si>
    <t xml:space="preserve">صناعة النسيج و اللملابس </t>
  </si>
  <si>
    <t>صناعة الجلود</t>
  </si>
  <si>
    <t>Total</t>
  </si>
  <si>
    <t>المجموع</t>
  </si>
  <si>
    <t>باجة</t>
  </si>
  <si>
    <t>بنزرت</t>
  </si>
  <si>
    <t>قابس</t>
  </si>
  <si>
    <t>قفصة</t>
  </si>
  <si>
    <t>جندوبة</t>
  </si>
  <si>
    <t>قيروان</t>
  </si>
  <si>
    <t>قصرين</t>
  </si>
  <si>
    <t>قبلي</t>
  </si>
  <si>
    <t>الكاف</t>
  </si>
  <si>
    <t>مهدية</t>
  </si>
  <si>
    <t>مدنين</t>
  </si>
  <si>
    <t>صفاقس</t>
  </si>
  <si>
    <t>سيدي بوزيد</t>
  </si>
  <si>
    <t>سليانة</t>
  </si>
  <si>
    <t>سوسة</t>
  </si>
  <si>
    <t>تطاوين</t>
  </si>
  <si>
    <t>توزر</t>
  </si>
  <si>
    <t>زغوان</t>
  </si>
  <si>
    <t>الحصة من مجموع الولايات</t>
  </si>
  <si>
    <t>5 أشهر 2013</t>
  </si>
  <si>
    <t>حجم الاستثمارات (مليون دينار)</t>
  </si>
  <si>
    <t>5 أشهر 2012</t>
  </si>
  <si>
    <t>Base 100 : année 2000</t>
  </si>
  <si>
    <t>Var.%</t>
  </si>
  <si>
    <t xml:space="preserve">   - I.manufacturière</t>
  </si>
  <si>
    <t xml:space="preserve">   - I.A.A</t>
  </si>
  <si>
    <t xml:space="preserve">   - I.M.C.C.V</t>
  </si>
  <si>
    <t xml:space="preserve">   - I.M.E</t>
  </si>
  <si>
    <t xml:space="preserve">   - I.CHIMIQUES</t>
  </si>
  <si>
    <t xml:space="preserve">   - I.TEXTILES &amp; cuir</t>
  </si>
  <si>
    <t xml:space="preserve">   - I.D</t>
  </si>
  <si>
    <t>النمو %</t>
  </si>
  <si>
    <t>2013</t>
  </si>
  <si>
    <t>2012</t>
  </si>
  <si>
    <t>الصناعات الكيميائية</t>
  </si>
  <si>
    <t>صناعة النسيج و اللملابس والجلود</t>
  </si>
  <si>
    <t xml:space="preserve">رقم المعاملات </t>
  </si>
  <si>
    <t>النسبة %</t>
  </si>
  <si>
    <t>NOMBRE DE PROJETS</t>
  </si>
  <si>
    <t>NOMBRE D'EMPLOIS</t>
  </si>
  <si>
    <t>REGIONS</t>
  </si>
  <si>
    <t>BEJA</t>
  </si>
  <si>
    <t>*DELEG. BIZERTE</t>
  </si>
  <si>
    <t>*DELEGATION GABES</t>
  </si>
  <si>
    <t>GAFSA</t>
  </si>
  <si>
    <t>JENDOUBA</t>
  </si>
  <si>
    <t>KAIROUAN</t>
  </si>
  <si>
    <t>KASSERINE</t>
  </si>
  <si>
    <t>KEBILI</t>
  </si>
  <si>
    <t>LE KEF</t>
  </si>
  <si>
    <t>*DELEG. MAHDIA</t>
  </si>
  <si>
    <t>*DELEGATION MEDENINE</t>
  </si>
  <si>
    <t>*DELEGATION      SFAX</t>
  </si>
  <si>
    <t>S. BOUZID</t>
  </si>
  <si>
    <t>SILIANA</t>
  </si>
  <si>
    <t>*DELEGATION SOUSSE</t>
  </si>
  <si>
    <t>TATAOUINE</t>
  </si>
  <si>
    <t>TOZEUR</t>
  </si>
  <si>
    <t>ZAGHOUAN</t>
  </si>
  <si>
    <t>T O T A L</t>
  </si>
  <si>
    <t>% / ENS. REGIONS</t>
  </si>
  <si>
    <t>PMN: Programme de Mise à Niveau</t>
  </si>
  <si>
    <t>Adhésions:</t>
  </si>
  <si>
    <t xml:space="preserve"> Dossiers approuvés:</t>
  </si>
  <si>
    <t>Inv. Approuvé (MD):</t>
  </si>
  <si>
    <t>Primes approuvées (MD):</t>
  </si>
  <si>
    <t>ITP: Investissements Technologiques à caractère Prioritaire</t>
  </si>
  <si>
    <t>Nbr Dossiers approuvés:</t>
  </si>
  <si>
    <t>PIRD: Primes sur les Investissements de Recherche et Développement</t>
  </si>
  <si>
    <t>Nbr Dossiers examinés:</t>
  </si>
  <si>
    <t>Coût d'investissement (MD):</t>
  </si>
  <si>
    <t>حصيلة برنامج التاهيل الصناعي</t>
  </si>
  <si>
    <t>برنامج التاهيل الصناعي PMN</t>
  </si>
  <si>
    <t>الإنخراطات</t>
  </si>
  <si>
    <t>الملفات المصادق عليه</t>
  </si>
  <si>
    <t>الإستثمارات المصادق عليها (م.د)</t>
  </si>
  <si>
    <t>المنح المصادق عليها (م.د)</t>
  </si>
  <si>
    <t>الإستثمارات الاتكنولجية ذات الأولوية ITP</t>
  </si>
  <si>
    <t>منح على إستثمارات البحث والتطوير PIRD</t>
  </si>
  <si>
    <t>الملفات التي تمت دراستها</t>
  </si>
  <si>
    <t>قيمة الإستثمارات (م.د)</t>
  </si>
  <si>
    <t>INVESTISSEMENTS  MD</t>
  </si>
  <si>
    <t>Export (mille tonnes)</t>
  </si>
  <si>
    <t>Var, %</t>
  </si>
  <si>
    <t>Primes déboursées (MD):</t>
  </si>
  <si>
    <t>المنح التي تمّ صرفها (م.د)</t>
  </si>
  <si>
    <t>Résultats du programme de mise à niveau</t>
  </si>
  <si>
    <t>Ventes locales (mille tonnes)</t>
  </si>
  <si>
    <t>الواردات الصناعية (م.د)</t>
  </si>
  <si>
    <t>Importations industrielles (MD)</t>
  </si>
  <si>
    <t>Indice d'ensemble</t>
  </si>
  <si>
    <t>المؤشر العام</t>
  </si>
  <si>
    <t>مجموع الواردات الوطنية</t>
  </si>
  <si>
    <t>Total des importations des biens</t>
  </si>
  <si>
    <t>الطاقة</t>
  </si>
  <si>
    <t>TOTAL</t>
  </si>
  <si>
    <t>I.man</t>
  </si>
  <si>
    <t>الصناعات المعملية</t>
  </si>
  <si>
    <t>dont:</t>
  </si>
  <si>
    <t>Energie</t>
  </si>
  <si>
    <t>Industries manufacturières</t>
  </si>
  <si>
    <t>5أشهر 2012</t>
  </si>
  <si>
    <t>5أشهر 2013</t>
  </si>
  <si>
    <t>5أشهر 2010</t>
  </si>
  <si>
    <t>Production (mille tonnes)</t>
  </si>
  <si>
    <t>BILAN D'ENERGIE PRIMAIRE</t>
  </si>
  <si>
    <t>Evol %</t>
  </si>
  <si>
    <t>Unité : ktep</t>
  </si>
  <si>
    <t>RESSOURCES</t>
  </si>
  <si>
    <t>GPL Champs</t>
  </si>
  <si>
    <t>Gaz naturel</t>
  </si>
  <si>
    <t>Redevance</t>
  </si>
  <si>
    <t>Elect. Primaire</t>
  </si>
  <si>
    <t>DEMANDES</t>
  </si>
  <si>
    <t>Elec. Primaire</t>
  </si>
  <si>
    <t>SOLDE</t>
  </si>
  <si>
    <t>Raccordement Gaz</t>
  </si>
  <si>
    <t>Tx de réalisation de l'objectif</t>
  </si>
  <si>
    <t>Solaire thermique</t>
  </si>
  <si>
    <r>
      <t>Chauffe-eaux solaires résidentiel (m</t>
    </r>
    <r>
      <rPr>
        <b/>
        <vertAlign val="superscript"/>
        <sz val="16"/>
        <rFont val="Times New Roman"/>
        <family val="1"/>
      </rPr>
      <t>2</t>
    </r>
    <r>
      <rPr>
        <b/>
        <sz val="16"/>
        <rFont val="Times New Roman"/>
        <family val="1"/>
      </rPr>
      <t xml:space="preserve"> installé)</t>
    </r>
  </si>
  <si>
    <t xml:space="preserve">  Audits Energétiques </t>
  </si>
  <si>
    <t>13/12</t>
  </si>
  <si>
    <t xml:space="preserve">الصناعات المعملية </t>
  </si>
  <si>
    <t xml:space="preserve">
Nombre 
d'entreprises
</t>
  </si>
  <si>
    <t>NTIC</t>
  </si>
  <si>
    <t>:Nouvelles Technologies de l'Information et des Communications</t>
  </si>
  <si>
    <t>:Industries du Textile et de l'Habillement</t>
  </si>
  <si>
    <t>:Industries Mécaniques et Electriques</t>
  </si>
  <si>
    <t>:Indusrties des Matériaux de Construction de la Céramique et du Verre</t>
  </si>
  <si>
    <t>:Industries du Cuir et de la Chaussure</t>
  </si>
  <si>
    <t>:Industries Agro-Alimentaires</t>
  </si>
  <si>
    <t>:Industries Chimiques</t>
  </si>
  <si>
    <t>IBA</t>
  </si>
  <si>
    <t>:Industries du Bois et de l'Ameublement</t>
  </si>
  <si>
    <t>IEmb</t>
  </si>
  <si>
    <t>:Industries d'Emballage</t>
  </si>
  <si>
    <t>Services</t>
  </si>
  <si>
    <t>:Services</t>
  </si>
  <si>
    <t>Répartition des Entreprises certifiées par référentiel</t>
  </si>
  <si>
    <t xml:space="preserve">Référentiel
</t>
  </si>
  <si>
    <t>Nombre d'entrprises*</t>
  </si>
  <si>
    <t>ISO 9001</t>
  </si>
  <si>
    <t>ISO 14001</t>
  </si>
  <si>
    <t>OHSAS 18001</t>
  </si>
  <si>
    <t>marquage CE</t>
  </si>
  <si>
    <t>QSE</t>
  </si>
  <si>
    <t>SA 8000</t>
  </si>
  <si>
    <t xml:space="preserve">Nombre total d’entreprises par référentiel horizontal    </t>
  </si>
  <si>
    <t>Produit</t>
  </si>
  <si>
    <t xml:space="preserve">ISO/TS 16949 </t>
  </si>
  <si>
    <t>ISO 22000</t>
  </si>
  <si>
    <t>DIVERS</t>
  </si>
  <si>
    <t>ISO 9100</t>
  </si>
  <si>
    <t>BRC</t>
  </si>
  <si>
    <t>CMMI</t>
  </si>
  <si>
    <t>FSC</t>
  </si>
  <si>
    <t>IFS</t>
  </si>
  <si>
    <t xml:space="preserve">Nombre total d’entreprises par référentiel sectoriel    </t>
  </si>
  <si>
    <t>ISO 17025</t>
  </si>
  <si>
    <t>ISO 17021</t>
  </si>
  <si>
    <t>ISO 17020</t>
  </si>
  <si>
    <t xml:space="preserve">Nombre total d’entreprises par référentiel d’accréditation </t>
  </si>
  <si>
    <t xml:space="preserve">Total </t>
  </si>
  <si>
    <t>Secteurs d'activités</t>
  </si>
  <si>
    <t>13/11</t>
  </si>
  <si>
    <t>13/10</t>
  </si>
  <si>
    <t xml:space="preserve"> Investissements déclarés par secteur </t>
  </si>
  <si>
    <t>Investissements (MD)</t>
  </si>
  <si>
    <t>objectifs 2013</t>
  </si>
  <si>
    <t>Batiments Solaires : Prosol Electrique</t>
  </si>
  <si>
    <t>Nombre de Kw installés</t>
  </si>
  <si>
    <t>Contrats programmes réalisés et en cours</t>
  </si>
  <si>
    <t>Contrats programmes signés</t>
  </si>
  <si>
    <t>Pépinières d'Entreprises</t>
  </si>
  <si>
    <t>Nb Bénéficiaires des services des pépinières</t>
  </si>
  <si>
    <t>Formation</t>
  </si>
  <si>
    <t>Entreprises réalisées hors pépinières</t>
  </si>
  <si>
    <t>Entreprises Sorties</t>
  </si>
  <si>
    <t xml:space="preserve">Nombre Entreprises hébergées </t>
  </si>
  <si>
    <t>GUICHET UNIQUE</t>
  </si>
  <si>
    <t>Nbre de Société Juridiquement Constituées</t>
  </si>
  <si>
    <t>Développement régional</t>
  </si>
  <si>
    <t xml:space="preserve">Projets bénéficiaires de la prime d'investissement </t>
  </si>
  <si>
    <t>Invest en MD</t>
  </si>
  <si>
    <t xml:space="preserve"> primes en MD</t>
  </si>
  <si>
    <t xml:space="preserve">Nouveaux Promoteurs et  PME </t>
  </si>
  <si>
    <t xml:space="preserve">Projets bénéficiaires de la participation de l'Etat et des  primes d'investissement </t>
  </si>
  <si>
    <t>Participation et primes en MD</t>
  </si>
  <si>
    <t>Actions de formation</t>
  </si>
  <si>
    <t>Actions de coaching</t>
  </si>
  <si>
    <t>Ateliers de financement</t>
  </si>
  <si>
    <t xml:space="preserve">Projets réalisés </t>
  </si>
  <si>
    <t>Emplois crées</t>
  </si>
  <si>
    <t>Essaimage</t>
  </si>
  <si>
    <t>Nb Conventions signées</t>
  </si>
  <si>
    <t>Nb d'Emplois</t>
  </si>
  <si>
    <t>Projets entrés  en Production</t>
  </si>
  <si>
    <t>Projets implantés dans les ZDR</t>
  </si>
  <si>
    <t>Investissements (Dt)</t>
  </si>
  <si>
    <t>Activité</t>
  </si>
  <si>
    <t>Nombre de 2005 à fin décembre 2012</t>
  </si>
  <si>
    <t>Investissements</t>
  </si>
  <si>
    <t>Nombre de 2005 à fin mai 2013</t>
  </si>
  <si>
    <t>à fin mai - à fin décembre</t>
  </si>
  <si>
    <t>4moi s+ mai</t>
  </si>
  <si>
    <t>6mois 2013</t>
  </si>
  <si>
    <r>
      <t>ملاحظات</t>
    </r>
    <r>
      <rPr>
        <b/>
        <sz val="16"/>
        <color rgb="FFFFFFE1"/>
        <rFont val="Calibri"/>
        <family val="2"/>
      </rPr>
      <t xml:space="preserve"> </t>
    </r>
  </si>
  <si>
    <r>
      <t>الحصّة</t>
    </r>
    <r>
      <rPr>
        <b/>
        <sz val="16"/>
        <color rgb="FFFFFFE1"/>
        <rFont val="Calibri"/>
        <family val="2"/>
      </rPr>
      <t xml:space="preserve"> </t>
    </r>
  </si>
  <si>
    <r>
      <t>التطور (%)</t>
    </r>
    <r>
      <rPr>
        <b/>
        <sz val="16"/>
        <color rgb="FFFFFFE1"/>
        <rFont val="Calibri"/>
        <family val="2"/>
      </rPr>
      <t xml:space="preserve"> </t>
    </r>
  </si>
  <si>
    <r>
      <t>صناعة الجلود والاحذية</t>
    </r>
    <r>
      <rPr>
        <b/>
        <sz val="16"/>
        <color rgb="FF000000"/>
        <rFont val="Calibri"/>
        <family val="2"/>
      </rPr>
      <t xml:space="preserve"> </t>
    </r>
  </si>
  <si>
    <r>
      <t>الصناعات المختلفة</t>
    </r>
    <r>
      <rPr>
        <b/>
        <sz val="16"/>
        <color rgb="FF000000"/>
        <rFont val="Calibri"/>
        <family val="2"/>
      </rPr>
      <t xml:space="preserve"> </t>
    </r>
  </si>
  <si>
    <r>
      <t>صناعة النسيج والملابس</t>
    </r>
    <r>
      <rPr>
        <b/>
        <sz val="16"/>
        <color rgb="FF000000"/>
        <rFont val="Calibri"/>
        <family val="2"/>
      </rPr>
      <t xml:space="preserve"> </t>
    </r>
  </si>
  <si>
    <r>
      <t>الصناعات الميكانيكية والكهربائية</t>
    </r>
    <r>
      <rPr>
        <b/>
        <sz val="16"/>
        <color rgb="FF000000"/>
        <rFont val="Calibri"/>
        <family val="2"/>
      </rPr>
      <t xml:space="preserve"> </t>
    </r>
  </si>
  <si>
    <r>
      <t>مجموع الصادرات الصناعية</t>
    </r>
    <r>
      <rPr>
        <b/>
        <sz val="16"/>
        <color rgb="FF000000"/>
        <rFont val="Calibri"/>
        <family val="2"/>
      </rPr>
      <t xml:space="preserve"> </t>
    </r>
  </si>
  <si>
    <r>
      <t>مجموع  الصادرات الوطنية</t>
    </r>
    <r>
      <rPr>
        <b/>
        <sz val="16"/>
        <color rgb="FF000000"/>
        <rFont val="Calibri"/>
        <family val="2"/>
      </rPr>
      <t xml:space="preserve"> </t>
    </r>
  </si>
  <si>
    <t>الصادرات  ( م.د)</t>
  </si>
  <si>
    <t>Total Industrie (MD)</t>
  </si>
  <si>
    <t>مجموع الصناعات المعملية (م.د)</t>
  </si>
  <si>
    <t>مجموع  الصادرات الوطنية (م.د)</t>
  </si>
  <si>
    <t>Total des exportation des biens (MD)</t>
  </si>
  <si>
    <t>Taux de change</t>
  </si>
  <si>
    <t>سعر الصرف</t>
  </si>
  <si>
    <t>الجدول عدد 2</t>
  </si>
  <si>
    <t>قطاع الفسفاط ومشتقاته</t>
  </si>
  <si>
    <t>رقم المعاملات ( م د )</t>
  </si>
  <si>
    <t>الفسفاط</t>
  </si>
  <si>
    <t>التصدير</t>
  </si>
  <si>
    <t>المحلي</t>
  </si>
  <si>
    <t>رقم المعاملات الإجمالي</t>
  </si>
  <si>
    <t>رقم معاملات التصدير</t>
  </si>
  <si>
    <t>سعر الدولار بالدينار التونسي</t>
  </si>
  <si>
    <t>الإنتاج</t>
  </si>
  <si>
    <t>ثلاثي الفسفاط الرفيع</t>
  </si>
  <si>
    <t xml:space="preserve">فسفاط الصوديوم </t>
  </si>
  <si>
    <t>الجدول عدد 2 (يتبع)</t>
  </si>
  <si>
    <t>فسفاط الصوديوم</t>
  </si>
  <si>
    <t>نسبة النمو %</t>
  </si>
  <si>
    <t>Chiffre d'affaire  MD</t>
  </si>
  <si>
    <t xml:space="preserve">Chiffre d'Affaire global </t>
  </si>
  <si>
    <t xml:space="preserve">Chiffre d'Affaire export </t>
  </si>
  <si>
    <t>STPP</t>
  </si>
  <si>
    <t>Nombre de 2005 à fin juin 2013</t>
  </si>
  <si>
    <t xml:space="preserve">Activité des centres d'affaires </t>
  </si>
  <si>
    <t>Coût d'investissement (MD)</t>
  </si>
  <si>
    <t>التطور %</t>
  </si>
  <si>
    <t>Pétrole brut</t>
  </si>
  <si>
    <t>Produits pétroliers</t>
  </si>
  <si>
    <t>السنوي</t>
  </si>
  <si>
    <t>الفارق</t>
  </si>
  <si>
    <t>البيانات</t>
  </si>
  <si>
    <t>تقديرات 2013</t>
  </si>
  <si>
    <t>2012  (وقتـي)</t>
  </si>
  <si>
    <t>2012/2013</t>
  </si>
  <si>
    <t>2010/2013</t>
  </si>
  <si>
    <t>رقم المعاملات الإجمالي = إجمالي مشتقات الفسفاط + تصدير الفسفاط</t>
  </si>
  <si>
    <t>(ألف طن)</t>
  </si>
  <si>
    <t>المواد</t>
  </si>
  <si>
    <t xml:space="preserve">التصدير </t>
  </si>
  <si>
    <t xml:space="preserve">المبيعات المحلية </t>
  </si>
  <si>
    <t xml:space="preserve">شراءات المواد الأوّلية </t>
  </si>
  <si>
    <t>الكبريت</t>
  </si>
  <si>
    <t>الأمونيا</t>
  </si>
  <si>
    <t>مؤشر الإنتاج الصناعي (الخمس أشهر)</t>
  </si>
  <si>
    <t>المناجم</t>
  </si>
  <si>
    <t>11/10</t>
  </si>
  <si>
    <t>12/11</t>
  </si>
  <si>
    <t>Tx. Acc %</t>
  </si>
  <si>
    <r>
      <t>صناعات مواد البناء والخزف والبلور</t>
    </r>
    <r>
      <rPr>
        <b/>
        <sz val="16"/>
        <color theme="3"/>
        <rFont val="Calibri"/>
        <family val="2"/>
      </rPr>
      <t xml:space="preserve"> </t>
    </r>
  </si>
  <si>
    <r>
      <t>الصناعات الغذائية</t>
    </r>
    <r>
      <rPr>
        <b/>
        <sz val="16"/>
        <color theme="3"/>
        <rFont val="Calibri"/>
        <family val="2"/>
      </rPr>
      <t xml:space="preserve"> </t>
    </r>
  </si>
  <si>
    <r>
      <t>الصيناعات</t>
    </r>
    <r>
      <rPr>
        <b/>
        <sz val="16"/>
        <color theme="3"/>
        <rFont val="Calibri"/>
        <family val="2"/>
      </rPr>
      <t xml:space="preserve"> الكيميائية </t>
    </r>
  </si>
  <si>
    <t>Ind. Man</t>
  </si>
  <si>
    <t>zdr</t>
  </si>
  <si>
    <t xml:space="preserve"> Indice à la Production Industrielle</t>
  </si>
  <si>
    <t xml:space="preserve">   - I.Manufacturière</t>
  </si>
  <si>
    <t xml:space="preserve">   - I.CH</t>
  </si>
  <si>
    <t xml:space="preserve">   - I.TCC</t>
  </si>
  <si>
    <t>Mines</t>
  </si>
  <si>
    <t xml:space="preserve">مؤشر الإنتاج الصناعي </t>
  </si>
  <si>
    <t>رقم المعاملات   ( م.د)</t>
  </si>
  <si>
    <t xml:space="preserve">رقم المعاملات الاجمالي </t>
  </si>
  <si>
    <t xml:space="preserve">رقم معاملات التصدير </t>
  </si>
  <si>
    <t>Investissements Directs Etrangers (MD)</t>
  </si>
  <si>
    <t>Total des IDE (MD)</t>
  </si>
  <si>
    <t>جملة الإستثمارات المباشرة (م,د)</t>
  </si>
  <si>
    <t>la somme des totaux des entreprises certifiées pour chacun des référentiels dépasse  le nombre      d’entreprise  certifiées ( parce qu’il correspond en fait au nombre de certificat délivrés  )</t>
  </si>
  <si>
    <t xml:space="preserve"> * Etant donné qu’une entreprise peut cumuler  plusieurs certifications selon des référentiels différents             </t>
  </si>
  <si>
    <t xml:space="preserve">الأرقام المسجلة إلـى موفى أوت 2010، 2012 و2013 </t>
  </si>
  <si>
    <t>( وقتـي )</t>
  </si>
  <si>
    <t>(مليون دولارا)</t>
  </si>
  <si>
    <t>المنجز إلى موفى أوت</t>
  </si>
  <si>
    <t xml:space="preserve"> </t>
  </si>
  <si>
    <t>8 mois 2012</t>
  </si>
  <si>
    <t>8 mois 2013</t>
  </si>
  <si>
    <t>8 اشهر 2012</t>
  </si>
  <si>
    <t>8 اشهر 2013</t>
  </si>
  <si>
    <r>
      <t xml:space="preserve">8 </t>
    </r>
    <r>
      <rPr>
        <b/>
        <sz val="16"/>
        <color rgb="FFFFFFE1"/>
        <rFont val="Arial"/>
        <family val="2"/>
      </rPr>
      <t>اشهر</t>
    </r>
    <r>
      <rPr>
        <b/>
        <sz val="16"/>
        <color rgb="FFFFFFE1"/>
        <rFont val="Calibri"/>
        <family val="2"/>
      </rPr>
      <t xml:space="preserve"> 2010 </t>
    </r>
  </si>
  <si>
    <r>
      <t xml:space="preserve">8 </t>
    </r>
    <r>
      <rPr>
        <b/>
        <sz val="16"/>
        <color rgb="FFFFFFE1"/>
        <rFont val="Arial"/>
        <family val="2"/>
      </rPr>
      <t>اشهر</t>
    </r>
    <r>
      <rPr>
        <b/>
        <sz val="16"/>
        <color rgb="FFFFFFE1"/>
        <rFont val="Calibri"/>
        <family val="2"/>
      </rPr>
      <t xml:space="preserve"> 2012 </t>
    </r>
  </si>
  <si>
    <r>
      <t xml:space="preserve">8 </t>
    </r>
    <r>
      <rPr>
        <b/>
        <sz val="16"/>
        <color rgb="FFFFFFE1"/>
        <rFont val="Arial"/>
        <family val="2"/>
      </rPr>
      <t>اشهر</t>
    </r>
    <r>
      <rPr>
        <b/>
        <sz val="16"/>
        <color rgb="FFFFFFE1"/>
        <rFont val="Calibri"/>
        <family val="2"/>
      </rPr>
      <t xml:space="preserve"> 2013 </t>
    </r>
  </si>
  <si>
    <r>
      <t>ارتفاع  تصدير الآجر ومربعات الخزف نحو ليبيا</t>
    </r>
    <r>
      <rPr>
        <b/>
        <sz val="14"/>
        <color rgb="FF00B050"/>
        <rFont val="Calibri"/>
        <family val="2"/>
      </rPr>
      <t xml:space="preserve"> 6% والإسمنت 115% ( 77,8 م د مقابل 36,1 م د )</t>
    </r>
  </si>
  <si>
    <r>
      <rPr>
        <b/>
        <sz val="14"/>
        <color rgb="FF00B050"/>
        <rFont val="Times New Roman"/>
        <family val="1"/>
      </rPr>
      <t xml:space="preserve"> ارتفاع صادرات زيت الزيتون 75</t>
    </r>
    <r>
      <rPr>
        <b/>
        <sz val="14"/>
        <color rgb="FF00B050"/>
        <rFont val="Calibri"/>
        <family val="2"/>
      </rPr>
      <t xml:space="preserve"> % ( 660,4 م.د مقابل 377,5 م.د ) </t>
    </r>
    <r>
      <rPr>
        <b/>
        <sz val="14"/>
        <color rgb="FF00B050"/>
        <rFont val="Times New Roman"/>
        <family val="1"/>
      </rPr>
      <t>والقوارص 19 %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Calibri"/>
        <family val="2"/>
      </rPr>
      <t>،  وتراجع الأسماك والرخويات بـ -14 %</t>
    </r>
  </si>
  <si>
    <r>
      <t xml:space="preserve"> ارتفاع صادرات الأحذية 2 </t>
    </r>
    <r>
      <rPr>
        <b/>
        <sz val="14"/>
        <color rgb="FF00B050"/>
        <rFont val="Calibri"/>
        <family val="2"/>
      </rPr>
      <t>% ( 383,9 م.د مقابل 376,6 م.د )</t>
    </r>
  </si>
  <si>
    <t>الحياكة 7 %  ( 794,9م.د مقابل 742,3 م.د ) والملابس الجاهزة 7  %( 2228,0م.د مقابل 2074,1 م.د )</t>
  </si>
  <si>
    <t xml:space="preserve">المحولات  ( 377,8 م د مقابل 339,8 م د)  11 %   وقطع الغيار 19 %  ( 301,7 م د مقابل 252,8 م د) </t>
  </si>
  <si>
    <t>8 mois 2010</t>
  </si>
  <si>
    <t>8 اشهر 2010</t>
  </si>
  <si>
    <t>08 mois 2010</t>
  </si>
  <si>
    <t>08 mois 2011</t>
  </si>
  <si>
    <t>08 mois 2012</t>
  </si>
  <si>
    <t>0 mois 2013</t>
  </si>
  <si>
    <t>الإستثمارات المصرح بها (إلى موفى أوت 2013)</t>
  </si>
  <si>
    <t>ANNEE</t>
  </si>
  <si>
    <t>INVESTISSEMENT</t>
  </si>
  <si>
    <t>08M/12</t>
  </si>
  <si>
    <t>08M/13</t>
  </si>
  <si>
    <t>Tx  Acc.</t>
  </si>
  <si>
    <t xml:space="preserve">N.B : Délégations gouvernorat signifie les délégations appartenant au développement régional </t>
  </si>
  <si>
    <t xml:space="preserve">         du gouvernorat concerné</t>
  </si>
  <si>
    <t>* INVESTISSEMENT EN MILLIONS D.T</t>
  </si>
  <si>
    <t>8 أشهر 2013</t>
  </si>
  <si>
    <r>
      <t>ارتفاع صادرات  المواد الصيدلانية إلى حدود 56,3 م.د (زيادة بـ 40%</t>
    </r>
    <r>
      <rPr>
        <b/>
        <sz val="14"/>
        <color rgb="FF00B050"/>
        <rFont val="Calibri"/>
        <family val="2"/>
      </rPr>
      <t xml:space="preserve"> ) والمواد البلاستيكية بلغت 383,6 م.د (زيادة بـ 10%)                                                                                              </t>
    </r>
  </si>
  <si>
    <r>
      <t>*</t>
    </r>
    <r>
      <rPr>
        <b/>
        <sz val="13"/>
        <color rgb="FFFF0000"/>
        <rFont val="Calibri"/>
        <family val="2"/>
      </rPr>
      <t xml:space="preserve">انخفاض الصادرات مقارنة بسنة 2010  بسبب تراجع صادرات أهم المواد الفسفاطية  التي تمثل قرابة 50%  من صادرات القطاع  بنسبة -27% .                                                                                    </t>
    </r>
  </si>
  <si>
    <r>
      <t>*القطاعا</t>
    </r>
    <r>
      <rPr>
        <b/>
        <sz val="18"/>
        <color rgb="FFFFFFE1"/>
        <rFont val="Calibri"/>
        <family val="2"/>
      </rPr>
      <t xml:space="preserve">ت </t>
    </r>
  </si>
  <si>
    <t>08 mois</t>
  </si>
  <si>
    <t>08 mois 2013</t>
  </si>
  <si>
    <t>8أشهر 2013</t>
  </si>
  <si>
    <t>8أشهر 2012</t>
  </si>
  <si>
    <t>8أشهر 2011</t>
  </si>
  <si>
    <t>8أشهر 2010</t>
  </si>
  <si>
    <t>منها:</t>
  </si>
  <si>
    <t>Nombre de 2005 à fin août 2013</t>
  </si>
  <si>
    <r>
      <t xml:space="preserve"> </t>
    </r>
    <r>
      <rPr>
        <b/>
        <sz val="14"/>
        <rFont val="Times New Roman"/>
        <family val="1"/>
      </rPr>
      <t>2006</t>
    </r>
    <r>
      <rPr>
        <b/>
        <sz val="16"/>
        <rFont val="Times New Roman"/>
        <family val="1"/>
      </rPr>
      <t xml:space="preserve"> -ــــــ </t>
    </r>
    <r>
      <rPr>
        <b/>
        <sz val="14"/>
        <rFont val="Times New Roman"/>
        <family val="1"/>
      </rPr>
      <t>Aout 2013</t>
    </r>
  </si>
  <si>
    <t>2mois</t>
  </si>
  <si>
    <t>8mois 2013</t>
  </si>
  <si>
    <t>verification</t>
  </si>
  <si>
    <t>الإنتاج (ألف طن)</t>
  </si>
  <si>
    <t>التصدير( ألف طن)</t>
  </si>
  <si>
    <t>المبيعات المحلية (ألف طن)</t>
  </si>
  <si>
    <t>Chiffre d'affaire en million de dollar</t>
  </si>
  <si>
    <t xml:space="preserve">    </t>
  </si>
  <si>
    <t>8MOIS 2013</t>
  </si>
  <si>
    <t>08 mois.2012</t>
  </si>
  <si>
    <t>08 mois.2013</t>
  </si>
  <si>
    <t xml:space="preserve">8mois. 2012 </t>
  </si>
  <si>
    <t>8mois. 2013</t>
  </si>
  <si>
    <t>8mois 2012</t>
  </si>
  <si>
    <t>8 mois.2013</t>
  </si>
  <si>
    <t>08 mois.2010</t>
  </si>
  <si>
    <t>8mois. 2010</t>
  </si>
  <si>
    <t>الثمانية أشهر الأولى</t>
  </si>
  <si>
    <t>6mois 2012</t>
  </si>
  <si>
    <t>6mois  2013</t>
  </si>
  <si>
    <t>Variations cumulées des six premiers mois (%)</t>
  </si>
  <si>
    <t>التغيرات المتراكمة للستة أشهر الأولى (%)</t>
  </si>
  <si>
    <t>Ensemble des  raccordements</t>
  </si>
  <si>
    <t>7mois</t>
  </si>
  <si>
    <t>Certification par secteur d'activité  (à fin Aout 2013)</t>
  </si>
</sst>
</file>

<file path=xl/styles.xml><?xml version="1.0" encoding="utf-8"?>
<styleSheet xmlns="http://schemas.openxmlformats.org/spreadsheetml/2006/main">
  <numFmts count="11">
    <numFmt numFmtId="43" formatCode="_-* #,##0.00\ _€_-;\-* #,##0.00\ _€_-;_-* &quot;-&quot;??\ _€_-;_-@_-"/>
    <numFmt numFmtId="164" formatCode="0.0%"/>
    <numFmt numFmtId="165" formatCode="0.0"/>
    <numFmt numFmtId="166" formatCode="#,##0.0;[Red]#,##0.0"/>
    <numFmt numFmtId="167" formatCode="#,##0;[Red]#,##0"/>
    <numFmt numFmtId="168" formatCode="0.0000"/>
    <numFmt numFmtId="169" formatCode="#,##0.0"/>
    <numFmt numFmtId="170" formatCode="#,##0.0000"/>
    <numFmt numFmtId="171" formatCode="_-* #,##0.0\ _€_-;\-* #,##0.0\ _€_-;_-* &quot;-&quot;??\ _€_-;_-@_-"/>
    <numFmt numFmtId="172" formatCode="#,##0.0_ ;\-#,##0.0\ "/>
    <numFmt numFmtId="173" formatCode="0.0_)"/>
  </numFmts>
  <fonts count="1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sz val="18"/>
      <name val="Times New Roman"/>
      <family val="1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Times New Roman"/>
      <family val="1"/>
    </font>
    <font>
      <sz val="18"/>
      <color theme="0"/>
      <name val="Arial"/>
      <family val="2"/>
    </font>
    <font>
      <b/>
      <sz val="13"/>
      <color theme="0"/>
      <name val="Arial"/>
      <family val="2"/>
    </font>
    <font>
      <b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6"/>
      <name val="Calibri"/>
      <family val="2"/>
      <scheme val="minor"/>
    </font>
    <font>
      <b/>
      <sz val="18"/>
      <color theme="0"/>
      <name val="Arial"/>
      <family val="2"/>
    </font>
    <font>
      <b/>
      <sz val="14"/>
      <color theme="0"/>
      <name val="Times New Roman"/>
      <family val="1"/>
    </font>
    <font>
      <sz val="18"/>
      <name val="Arial"/>
      <family val="2"/>
    </font>
    <font>
      <b/>
      <i/>
      <sz val="18"/>
      <color theme="0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sz val="14"/>
      <name val="Times New Roman"/>
      <family val="1"/>
    </font>
    <font>
      <b/>
      <sz val="16"/>
      <color theme="0"/>
      <name val="Candara"/>
      <family val="2"/>
    </font>
    <font>
      <b/>
      <sz val="14"/>
      <name val="Candara"/>
      <family val="2"/>
    </font>
    <font>
      <sz val="10"/>
      <name val="Candara"/>
      <family val="2"/>
    </font>
    <font>
      <b/>
      <sz val="14"/>
      <color theme="0"/>
      <name val="Candara"/>
      <family val="2"/>
    </font>
    <font>
      <b/>
      <sz val="14"/>
      <color theme="4" tint="0.79998168889431442"/>
      <name val="Candara"/>
      <family val="2"/>
    </font>
    <font>
      <b/>
      <sz val="16"/>
      <name val="Cambria"/>
      <family val="1"/>
      <scheme val="major"/>
    </font>
    <font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8"/>
      <name val="Cambria"/>
      <family val="1"/>
      <scheme val="major"/>
    </font>
    <font>
      <b/>
      <i/>
      <sz val="14"/>
      <color theme="0"/>
      <name val="Times New Roman"/>
      <family val="1"/>
    </font>
    <font>
      <b/>
      <i/>
      <sz val="14"/>
      <color rgb="FFFFFF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sz val="18"/>
      <color theme="0"/>
      <name val="Cambria"/>
      <family val="1"/>
      <scheme val="major"/>
    </font>
    <font>
      <b/>
      <sz val="14"/>
      <color theme="0"/>
      <name val="Cambria"/>
      <family val="1"/>
      <scheme val="maj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rgb="FF0F243E"/>
      <name val="Arial"/>
      <family val="2"/>
    </font>
    <font>
      <b/>
      <sz val="11"/>
      <color rgb="FF0F243E"/>
      <name val="Arial"/>
      <family val="2"/>
    </font>
    <font>
      <b/>
      <sz val="14"/>
      <color theme="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color rgb="FFFF0000"/>
      <name val="Arial"/>
      <family val="2"/>
    </font>
    <font>
      <b/>
      <sz val="14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4"/>
      <name val="Calibri"/>
      <family val="2"/>
    </font>
    <font>
      <b/>
      <sz val="14"/>
      <name val="Calibri"/>
      <family val="2"/>
      <scheme val="minor"/>
    </font>
    <font>
      <sz val="14"/>
      <color theme="1"/>
      <name val="Calibri"/>
      <family val="2"/>
    </font>
    <font>
      <sz val="16"/>
      <color theme="0"/>
      <name val="Calibri"/>
      <family val="2"/>
      <scheme val="minor"/>
    </font>
    <font>
      <sz val="14"/>
      <color rgb="FF000000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Arial"/>
      <family val="2"/>
    </font>
    <font>
      <i/>
      <sz val="14"/>
      <name val="Calibri"/>
      <family val="2"/>
    </font>
    <font>
      <b/>
      <i/>
      <sz val="12"/>
      <color rgb="FF000000"/>
      <name val="Candara"/>
      <family val="2"/>
    </font>
    <font>
      <b/>
      <sz val="14"/>
      <color rgb="FF000000"/>
      <name val="Arial"/>
      <family val="2"/>
    </font>
    <font>
      <sz val="14"/>
      <color theme="0"/>
      <name val="Times New Roman"/>
      <family val="1"/>
    </font>
    <font>
      <b/>
      <sz val="14"/>
      <color rgb="FF000000"/>
      <name val="Times New Roman"/>
      <family val="1"/>
    </font>
    <font>
      <b/>
      <vertAlign val="superscript"/>
      <sz val="16"/>
      <name val="Times New Roman"/>
      <family val="1"/>
    </font>
    <font>
      <sz val="12"/>
      <name val="Times New Roman"/>
      <family val="1"/>
    </font>
    <font>
      <b/>
      <sz val="16"/>
      <color rgb="FF000000"/>
      <name val="Times New Roman"/>
      <family val="1"/>
    </font>
    <font>
      <b/>
      <i/>
      <sz val="10"/>
      <name val="Arial"/>
      <family val="2"/>
    </font>
    <font>
      <b/>
      <sz val="16"/>
      <color theme="0"/>
      <name val="Arial Narrow"/>
      <family val="2"/>
    </font>
    <font>
      <i/>
      <sz val="8"/>
      <name val="Arial"/>
      <family val="2"/>
    </font>
    <font>
      <b/>
      <sz val="12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Calibri"/>
      <family val="2"/>
    </font>
    <font>
      <b/>
      <sz val="18"/>
      <color indexed="9"/>
      <name val="Arial"/>
      <family val="2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3"/>
      <color theme="0"/>
      <name val="Times New Roman"/>
      <family val="1"/>
    </font>
    <font>
      <sz val="18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i/>
      <sz val="8"/>
      <color theme="0"/>
      <name val="Arial"/>
      <family val="2"/>
    </font>
    <font>
      <i/>
      <sz val="8"/>
      <color theme="0"/>
      <name val="Arial"/>
      <family val="2"/>
    </font>
    <font>
      <b/>
      <sz val="16"/>
      <color theme="1"/>
      <name val="Candara"/>
      <family val="2"/>
    </font>
    <font>
      <sz val="14"/>
      <color theme="1"/>
      <name val="Candara"/>
      <family val="2"/>
    </font>
    <font>
      <b/>
      <sz val="14"/>
      <color theme="1"/>
      <name val="Candara"/>
      <family val="2"/>
    </font>
    <font>
      <sz val="14"/>
      <name val="Candara"/>
      <family val="2"/>
    </font>
    <font>
      <b/>
      <sz val="20"/>
      <color theme="0"/>
      <name val="Times New Roman"/>
      <family val="1"/>
    </font>
    <font>
      <sz val="15"/>
      <name val="Arial"/>
      <family val="2"/>
    </font>
    <font>
      <b/>
      <sz val="15"/>
      <name val="Calibri"/>
      <family val="2"/>
      <scheme val="minor"/>
    </font>
    <font>
      <sz val="13.5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3.5"/>
      <color theme="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6"/>
      <color theme="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FFE1"/>
      <name val="Calibri"/>
      <family val="2"/>
    </font>
    <font>
      <b/>
      <sz val="16"/>
      <color rgb="FFFFFFE1"/>
      <name val="Arial"/>
      <family val="2"/>
    </font>
    <font>
      <b/>
      <sz val="18"/>
      <color rgb="FFFFFFE1"/>
      <name val="Calibri"/>
      <family val="2"/>
    </font>
    <font>
      <b/>
      <sz val="16"/>
      <color rgb="FF002060"/>
      <name val="Calibri"/>
      <family val="2"/>
    </font>
    <font>
      <b/>
      <sz val="16"/>
      <color rgb="FF002060"/>
      <name val="Times New Roman"/>
      <family val="1"/>
    </font>
    <font>
      <b/>
      <sz val="16"/>
      <color rgb="FF000000"/>
      <name val="Calibri"/>
      <family val="2"/>
    </font>
    <font>
      <b/>
      <sz val="16"/>
      <color rgb="FF002060"/>
      <name val="Arial"/>
      <family val="2"/>
    </font>
    <font>
      <sz val="16"/>
      <color rgb="FF000000"/>
      <name val="Calibri"/>
      <family val="2"/>
    </font>
    <font>
      <b/>
      <sz val="18"/>
      <color rgb="FFFFFFE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Arial"/>
      <family val="2"/>
    </font>
    <font>
      <b/>
      <sz val="15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Traditional Arabic"/>
      <family val="1"/>
    </font>
    <font>
      <b/>
      <sz val="28"/>
      <color rgb="FF0000FF"/>
      <name val="Traditional Arabic"/>
      <family val="1"/>
    </font>
    <font>
      <b/>
      <sz val="20"/>
      <name val="Traditional Arabic"/>
      <family val="1"/>
    </font>
    <font>
      <b/>
      <sz val="20"/>
      <color theme="1"/>
      <name val="Traditional Arabic"/>
      <family val="1"/>
    </font>
    <font>
      <sz val="9"/>
      <name val="Calibri"/>
      <family val="2"/>
      <scheme val="minor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sz val="14"/>
      <color rgb="FFFFFF00"/>
      <name val="Calibri"/>
      <family val="2"/>
    </font>
    <font>
      <b/>
      <sz val="10"/>
      <name val="Calibri"/>
      <family val="2"/>
      <scheme val="minor"/>
    </font>
    <font>
      <b/>
      <sz val="13"/>
      <name val="Times New Roman"/>
      <family val="1"/>
    </font>
    <font>
      <b/>
      <sz val="11"/>
      <color rgb="FFFF0000"/>
      <name val="Calibri"/>
      <family val="2"/>
      <scheme val="minor"/>
    </font>
    <font>
      <b/>
      <sz val="20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20"/>
      <color theme="0"/>
      <name val="Cambria"/>
      <family val="1"/>
      <scheme val="major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16"/>
      <color rgb="FFFF0000"/>
      <name val="Times New Roman"/>
      <family val="1"/>
    </font>
    <font>
      <sz val="14"/>
      <color rgb="FF00B050"/>
      <name val="Calibri"/>
      <family val="2"/>
      <scheme val="minor"/>
    </font>
    <font>
      <b/>
      <sz val="16"/>
      <color theme="3"/>
      <name val="Calibri"/>
      <family val="2"/>
    </font>
    <font>
      <b/>
      <sz val="16"/>
      <color theme="3"/>
      <name val="Times New Roman"/>
      <family val="1"/>
    </font>
    <font>
      <b/>
      <sz val="14"/>
      <color rgb="FF00B050"/>
      <name val="Times New Roman"/>
      <family val="1"/>
    </font>
    <font>
      <sz val="14"/>
      <color rgb="FFFF0000"/>
      <name val="Calibri"/>
      <family val="2"/>
    </font>
    <font>
      <b/>
      <sz val="16"/>
      <name val="Candara"/>
      <family val="2"/>
    </font>
    <font>
      <b/>
      <sz val="16"/>
      <color rgb="FF00B050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8"/>
      <color theme="0"/>
      <name val="Candara"/>
      <family val="2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92D050"/>
      <name val="Calibri"/>
      <family val="2"/>
    </font>
    <font>
      <b/>
      <sz val="9"/>
      <color theme="1"/>
      <name val="Calibri"/>
      <family val="2"/>
      <scheme val="minor"/>
    </font>
    <font>
      <b/>
      <sz val="22"/>
      <color rgb="FFFF0000"/>
      <name val="Traditional Arabic"/>
      <family val="1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2"/>
      <color rgb="FF00B050"/>
      <name val="Times New Roman"/>
      <family val="1"/>
    </font>
    <font>
      <b/>
      <sz val="16"/>
      <color rgb="FF00B050"/>
      <name val="Times New Roman"/>
      <family val="1"/>
    </font>
    <font>
      <sz val="18"/>
      <name val="Calibri"/>
      <family val="2"/>
      <scheme val="minor"/>
    </font>
    <font>
      <sz val="18"/>
      <name val="Traditional Arabic"/>
      <family val="1"/>
    </font>
    <font>
      <b/>
      <sz val="13"/>
      <color rgb="FFFF0000"/>
      <name val="Times New Roman"/>
      <family val="1"/>
    </font>
    <font>
      <b/>
      <sz val="13"/>
      <color rgb="FFFF0000"/>
      <name val="Calibri"/>
      <family val="2"/>
    </font>
    <font>
      <b/>
      <sz val="11"/>
      <color rgb="FF002060"/>
      <name val="Times New Roman"/>
      <family val="1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FFFF00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b/>
      <sz val="16"/>
      <color rgb="FFFF0000"/>
      <name val="Cambria"/>
      <family val="1"/>
      <scheme val="major"/>
    </font>
    <font>
      <b/>
      <sz val="18"/>
      <color rgb="FF66FF66"/>
      <name val="Cambria"/>
      <family val="1"/>
      <scheme val="major"/>
    </font>
    <font>
      <b/>
      <sz val="14"/>
      <color theme="8" tint="0.7999816888943144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AF1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rgb="FF00206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AE18F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 style="medium">
        <color rgb="FF365F91"/>
      </right>
      <top/>
      <bottom/>
      <diagonal/>
    </border>
    <border>
      <left/>
      <right style="medium">
        <color rgb="FF365F91"/>
      </right>
      <top/>
      <bottom/>
      <diagonal/>
    </border>
    <border>
      <left style="medium">
        <color rgb="FF365F91"/>
      </left>
      <right style="medium">
        <color rgb="FF365F91"/>
      </right>
      <top/>
      <bottom/>
      <diagonal/>
    </border>
    <border>
      <left style="thick">
        <color rgb="FF4F81BD"/>
      </left>
      <right style="medium">
        <color rgb="FF365F91"/>
      </right>
      <top/>
      <bottom style="thick">
        <color rgb="FF4F81BD"/>
      </bottom>
      <diagonal/>
    </border>
    <border>
      <left/>
      <right style="medium">
        <color rgb="FF365F91"/>
      </right>
      <top/>
      <bottom style="thick">
        <color rgb="FF4F81BD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4F81BD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rgb="FF365F91"/>
      </left>
      <right style="medium">
        <color rgb="FF365F91"/>
      </right>
      <top style="thick">
        <color rgb="FF4F81BD"/>
      </top>
      <bottom style="thick">
        <color rgb="FF4F81BD"/>
      </bottom>
      <diagonal/>
    </border>
    <border>
      <left/>
      <right/>
      <top style="thick">
        <color rgb="FF4F81BD"/>
      </top>
      <bottom style="thick">
        <color rgb="FF4F81BD"/>
      </bottom>
      <diagonal/>
    </border>
    <border>
      <left style="thick">
        <color rgb="FF4F81BD"/>
      </left>
      <right/>
      <top style="thick">
        <color rgb="FF4F81BD"/>
      </top>
      <bottom style="thick">
        <color rgb="FF4F81BD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/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thick">
        <color theme="0"/>
      </left>
      <right/>
      <top style="thick">
        <color rgb="FF4F81BD"/>
      </top>
      <bottom style="thick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365F91"/>
      </left>
      <right style="medium">
        <color rgb="FF365F91"/>
      </right>
      <top/>
      <bottom style="thick">
        <color rgb="FF365F9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theme="0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medium">
        <color rgb="FF4F81BD"/>
      </top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</cellStyleXfs>
  <cellXfs count="1072">
    <xf numFmtId="0" fontId="0" fillId="0" borderId="0" xfId="0"/>
    <xf numFmtId="0" fontId="0" fillId="4" borderId="0" xfId="0" applyFill="1"/>
    <xf numFmtId="0" fontId="5" fillId="4" borderId="0" xfId="0" applyFont="1" applyFill="1" applyAlignment="1">
      <alignment horizontal="right"/>
    </xf>
    <xf numFmtId="0" fontId="5" fillId="4" borderId="0" xfId="0" applyFont="1" applyFill="1"/>
    <xf numFmtId="0" fontId="5" fillId="4" borderId="0" xfId="0" applyFont="1" applyFill="1" applyAlignment="1">
      <alignment readingOrder="2"/>
    </xf>
    <xf numFmtId="0" fontId="3" fillId="3" borderId="0" xfId="0" applyFont="1" applyFill="1" applyAlignment="1">
      <alignment horizontal="center" readingOrder="2"/>
    </xf>
    <xf numFmtId="0" fontId="0" fillId="4" borderId="0" xfId="0" applyFill="1" applyAlignment="1">
      <alignment readingOrder="2"/>
    </xf>
    <xf numFmtId="0" fontId="2" fillId="3" borderId="0" xfId="0" applyFont="1" applyFill="1" applyAlignment="1">
      <alignment horizontal="center" readingOrder="2"/>
    </xf>
    <xf numFmtId="164" fontId="2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5" fillId="4" borderId="0" xfId="0" applyFont="1" applyFill="1" applyAlignment="1">
      <alignment horizontal="left"/>
    </xf>
    <xf numFmtId="164" fontId="5" fillId="4" borderId="0" xfId="1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9" fontId="5" fillId="4" borderId="0" xfId="1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 vertical="center"/>
    </xf>
    <xf numFmtId="0" fontId="9" fillId="4" borderId="0" xfId="0" applyFont="1" applyFill="1"/>
    <xf numFmtId="1" fontId="18" fillId="8" borderId="7" xfId="0" applyNumberFormat="1" applyFont="1" applyFill="1" applyBorder="1" applyAlignment="1">
      <alignment horizontal="center" vertical="center" wrapText="1"/>
    </xf>
    <xf numFmtId="1" fontId="18" fillId="8" borderId="8" xfId="0" applyNumberFormat="1" applyFont="1" applyFill="1" applyBorder="1" applyAlignment="1">
      <alignment horizontal="center" vertical="center" wrapText="1"/>
    </xf>
    <xf numFmtId="1" fontId="18" fillId="8" borderId="9" xfId="0" applyNumberFormat="1" applyFont="1" applyFill="1" applyBorder="1" applyAlignment="1">
      <alignment horizontal="center" vertical="center" wrapText="1"/>
    </xf>
    <xf numFmtId="0" fontId="13" fillId="3" borderId="0" xfId="0" applyFont="1" applyFill="1"/>
    <xf numFmtId="0" fontId="2" fillId="2" borderId="0" xfId="0" applyFont="1" applyFill="1" applyAlignment="1"/>
    <xf numFmtId="0" fontId="27" fillId="6" borderId="8" xfId="0" applyFont="1" applyFill="1" applyBorder="1" applyAlignment="1">
      <alignment horizontal="left" vertical="center"/>
    </xf>
    <xf numFmtId="0" fontId="28" fillId="4" borderId="8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1" fontId="25" fillId="6" borderId="6" xfId="0" applyNumberFormat="1" applyFont="1" applyFill="1" applyBorder="1" applyAlignment="1">
      <alignment horizontal="center" vertical="center" wrapText="1" readingOrder="2"/>
    </xf>
    <xf numFmtId="1" fontId="25" fillId="6" borderId="7" xfId="0" applyNumberFormat="1" applyFont="1" applyFill="1" applyBorder="1" applyAlignment="1">
      <alignment horizontal="center" vertical="center" wrapText="1" readingOrder="2"/>
    </xf>
    <xf numFmtId="0" fontId="21" fillId="0" borderId="0" xfId="0" applyFont="1"/>
    <xf numFmtId="0" fontId="21" fillId="0" borderId="0" xfId="0" applyFont="1" applyAlignment="1">
      <alignment readingOrder="2"/>
    </xf>
    <xf numFmtId="0" fontId="30" fillId="0" borderId="2" xfId="0" applyFont="1" applyBorder="1" applyAlignment="1">
      <alignment horizontal="center"/>
    </xf>
    <xf numFmtId="165" fontId="30" fillId="0" borderId="2" xfId="0" applyNumberFormat="1" applyFont="1" applyBorder="1" applyAlignment="1">
      <alignment horizontal="center"/>
    </xf>
    <xf numFmtId="0" fontId="33" fillId="7" borderId="0" xfId="0" applyFont="1" applyFill="1" applyBorder="1" applyAlignment="1">
      <alignment horizontal="center"/>
    </xf>
    <xf numFmtId="164" fontId="34" fillId="7" borderId="0" xfId="1" applyNumberFormat="1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vertical="center"/>
    </xf>
    <xf numFmtId="165" fontId="35" fillId="4" borderId="0" xfId="1" applyNumberFormat="1" applyFont="1" applyFill="1" applyBorder="1" applyAlignment="1">
      <alignment horizontal="center" vertical="center"/>
    </xf>
    <xf numFmtId="164" fontId="35" fillId="4" borderId="0" xfId="1" applyNumberFormat="1" applyFont="1" applyFill="1" applyBorder="1" applyAlignment="1">
      <alignment horizontal="center" vertical="center"/>
    </xf>
    <xf numFmtId="17" fontId="38" fillId="4" borderId="0" xfId="0" quotePrefix="1" applyNumberFormat="1" applyFont="1" applyFill="1" applyBorder="1" applyAlignment="1">
      <alignment horizontal="center" vertical="center" wrapText="1"/>
    </xf>
    <xf numFmtId="16" fontId="38" fillId="4" borderId="0" xfId="0" quotePrefix="1" applyNumberFormat="1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164" fontId="38" fillId="4" borderId="0" xfId="1" applyNumberFormat="1" applyFont="1" applyFill="1" applyBorder="1" applyAlignment="1">
      <alignment horizontal="center" vertical="center"/>
    </xf>
    <xf numFmtId="165" fontId="38" fillId="4" borderId="0" xfId="0" applyNumberFormat="1" applyFont="1" applyFill="1" applyAlignment="1">
      <alignment horizontal="center" vertical="center"/>
    </xf>
    <xf numFmtId="0" fontId="37" fillId="4" borderId="0" xfId="0" applyFont="1" applyFill="1" applyAlignment="1">
      <alignment vertical="center"/>
    </xf>
    <xf numFmtId="0" fontId="38" fillId="4" borderId="0" xfId="0" applyFont="1" applyFill="1" applyBorder="1" applyAlignment="1">
      <alignment vertical="center" wrapText="1"/>
    </xf>
    <xf numFmtId="0" fontId="0" fillId="3" borderId="0" xfId="0" applyFill="1"/>
    <xf numFmtId="164" fontId="0" fillId="0" borderId="0" xfId="0" applyNumberFormat="1"/>
    <xf numFmtId="164" fontId="3" fillId="3" borderId="0" xfId="0" applyNumberFormat="1" applyFont="1" applyFill="1" applyAlignment="1">
      <alignment horizontal="center"/>
    </xf>
    <xf numFmtId="164" fontId="5" fillId="4" borderId="0" xfId="0" applyNumberFormat="1" applyFont="1" applyFill="1"/>
    <xf numFmtId="164" fontId="8" fillId="3" borderId="0" xfId="1" applyNumberFormat="1" applyFont="1" applyFill="1" applyAlignment="1">
      <alignment horizontal="center"/>
    </xf>
    <xf numFmtId="164" fontId="0" fillId="4" borderId="0" xfId="0" applyNumberFormat="1" applyFont="1" applyFill="1"/>
    <xf numFmtId="0" fontId="25" fillId="6" borderId="2" xfId="0" applyFont="1" applyFill="1" applyBorder="1" applyAlignment="1">
      <alignment horizontal="center" vertical="center" wrapText="1"/>
    </xf>
    <xf numFmtId="0" fontId="40" fillId="6" borderId="2" xfId="0" applyFont="1" applyFill="1" applyBorder="1" applyAlignment="1">
      <alignment horizontal="left" vertical="center"/>
    </xf>
    <xf numFmtId="1" fontId="22" fillId="9" borderId="2" xfId="0" applyNumberFormat="1" applyFont="1" applyFill="1" applyBorder="1" applyAlignment="1">
      <alignment horizontal="center" vertical="center"/>
    </xf>
    <xf numFmtId="165" fontId="22" fillId="9" borderId="2" xfId="0" applyNumberFormat="1" applyFont="1" applyFill="1" applyBorder="1" applyAlignment="1">
      <alignment horizontal="center" vertical="center"/>
    </xf>
    <xf numFmtId="0" fontId="5" fillId="0" borderId="0" xfId="0" applyFont="1"/>
    <xf numFmtId="1" fontId="25" fillId="6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readingOrder="2"/>
    </xf>
    <xf numFmtId="0" fontId="4" fillId="3" borderId="0" xfId="0" applyFont="1" applyFill="1" applyAlignment="1">
      <alignment horizontal="right" readingOrder="2"/>
    </xf>
    <xf numFmtId="0" fontId="43" fillId="2" borderId="0" xfId="0" applyFont="1" applyFill="1"/>
    <xf numFmtId="0" fontId="17" fillId="2" borderId="0" xfId="0" applyFont="1" applyFill="1" applyAlignment="1">
      <alignment horizontal="center"/>
    </xf>
    <xf numFmtId="0" fontId="44" fillId="12" borderId="14" xfId="0" applyFont="1" applyFill="1" applyBorder="1" applyAlignment="1">
      <alignment horizontal="left" vertical="center"/>
    </xf>
    <xf numFmtId="0" fontId="45" fillId="12" borderId="14" xfId="0" applyFont="1" applyFill="1" applyBorder="1" applyAlignment="1">
      <alignment vertical="center"/>
    </xf>
    <xf numFmtId="0" fontId="45" fillId="12" borderId="8" xfId="0" applyFont="1" applyFill="1" applyBorder="1" applyAlignment="1">
      <alignment vertical="center"/>
    </xf>
    <xf numFmtId="0" fontId="44" fillId="0" borderId="2" xfId="0" applyFont="1" applyBorder="1" applyAlignment="1">
      <alignment horizontal="left" vertical="center"/>
    </xf>
    <xf numFmtId="0" fontId="44" fillId="0" borderId="2" xfId="0" applyFont="1" applyFill="1" applyBorder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45" fillId="2" borderId="0" xfId="0" applyFont="1" applyFill="1" applyAlignment="1">
      <alignment horizontal="center"/>
    </xf>
    <xf numFmtId="0" fontId="45" fillId="12" borderId="14" xfId="0" applyFont="1" applyFill="1" applyBorder="1" applyAlignment="1">
      <alignment horizontal="center" vertical="center"/>
    </xf>
    <xf numFmtId="0" fontId="45" fillId="12" borderId="8" xfId="0" applyFont="1" applyFill="1" applyBorder="1" applyAlignment="1">
      <alignment horizontal="center" vertical="center"/>
    </xf>
    <xf numFmtId="0" fontId="44" fillId="12" borderId="9" xfId="0" applyFont="1" applyFill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3" fillId="13" borderId="0" xfId="0" quotePrefix="1" applyFont="1" applyFill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46" fillId="10" borderId="2" xfId="0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7" fillId="13" borderId="2" xfId="0" applyFont="1" applyFill="1" applyBorder="1"/>
    <xf numFmtId="0" fontId="42" fillId="13" borderId="2" xfId="0" applyFont="1" applyFill="1" applyBorder="1" applyAlignment="1">
      <alignment horizontal="center" vertical="center"/>
    </xf>
    <xf numFmtId="0" fontId="48" fillId="13" borderId="2" xfId="0" applyFont="1" applyFill="1" applyBorder="1" applyAlignment="1">
      <alignment horizontal="center" vertical="center"/>
    </xf>
    <xf numFmtId="164" fontId="36" fillId="4" borderId="0" xfId="1" applyNumberFormat="1" applyFont="1" applyFill="1" applyBorder="1" applyAlignment="1">
      <alignment horizontal="center" vertical="center"/>
    </xf>
    <xf numFmtId="165" fontId="36" fillId="4" borderId="0" xfId="0" applyNumberFormat="1" applyFont="1" applyFill="1" applyBorder="1" applyAlignment="1">
      <alignment horizontal="center" vertical="center"/>
    </xf>
    <xf numFmtId="0" fontId="38" fillId="4" borderId="0" xfId="0" applyFont="1" applyFill="1" applyAlignment="1">
      <alignment vertical="center"/>
    </xf>
    <xf numFmtId="165" fontId="36" fillId="11" borderId="0" xfId="0" applyNumberFormat="1" applyFont="1" applyFill="1" applyBorder="1" applyAlignment="1">
      <alignment horizontal="center" vertical="center"/>
    </xf>
    <xf numFmtId="164" fontId="36" fillId="11" borderId="0" xfId="1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right" vertical="center"/>
    </xf>
    <xf numFmtId="0" fontId="50" fillId="4" borderId="0" xfId="0" applyFont="1" applyFill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17" fontId="50" fillId="3" borderId="0" xfId="0" quotePrefix="1" applyNumberFormat="1" applyFont="1" applyFill="1" applyBorder="1" applyAlignment="1">
      <alignment horizontal="center" vertical="center" wrapText="1"/>
    </xf>
    <xf numFmtId="17" fontId="50" fillId="3" borderId="0" xfId="0" applyNumberFormat="1" applyFont="1" applyFill="1" applyBorder="1" applyAlignment="1">
      <alignment vertical="center" wrapText="1"/>
    </xf>
    <xf numFmtId="164" fontId="0" fillId="0" borderId="0" xfId="1" applyNumberFormat="1" applyFont="1"/>
    <xf numFmtId="0" fontId="43" fillId="2" borderId="0" xfId="0" applyFont="1" applyFill="1" applyAlignment="1">
      <alignment horizontal="center"/>
    </xf>
    <xf numFmtId="164" fontId="44" fillId="0" borderId="2" xfId="1" applyNumberFormat="1" applyFont="1" applyFill="1" applyBorder="1" applyAlignment="1">
      <alignment horizontal="center" vertical="center"/>
    </xf>
    <xf numFmtId="164" fontId="44" fillId="0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/>
    </xf>
    <xf numFmtId="0" fontId="9" fillId="4" borderId="0" xfId="0" applyFont="1" applyFill="1" applyAlignment="1"/>
    <xf numFmtId="165" fontId="5" fillId="4" borderId="0" xfId="0" applyNumberFormat="1" applyFont="1" applyFill="1" applyAlignment="1">
      <alignment horizontal="center"/>
    </xf>
    <xf numFmtId="165" fontId="5" fillId="4" borderId="0" xfId="0" applyNumberFormat="1" applyFont="1" applyFill="1" applyAlignment="1">
      <alignment horizontal="center" readingOrder="2"/>
    </xf>
    <xf numFmtId="0" fontId="51" fillId="0" borderId="0" xfId="0" applyFont="1"/>
    <xf numFmtId="0" fontId="52" fillId="3" borderId="0" xfId="0" applyFont="1" applyFill="1"/>
    <xf numFmtId="0" fontId="56" fillId="4" borderId="20" xfId="0" applyFont="1" applyFill="1" applyBorder="1" applyAlignment="1">
      <alignment horizontal="left" vertical="center"/>
    </xf>
    <xf numFmtId="3" fontId="58" fillId="0" borderId="0" xfId="2" applyNumberFormat="1" applyFont="1" applyFill="1" applyBorder="1" applyAlignment="1">
      <alignment horizontal="right"/>
    </xf>
    <xf numFmtId="0" fontId="56" fillId="4" borderId="2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58" fillId="0" borderId="0" xfId="2" applyNumberFormat="1" applyFont="1" applyBorder="1" applyAlignment="1"/>
    <xf numFmtId="3" fontId="20" fillId="4" borderId="0" xfId="2" applyNumberFormat="1" applyFont="1" applyFill="1" applyBorder="1" applyAlignment="1">
      <alignment vertical="center" wrapText="1"/>
    </xf>
    <xf numFmtId="3" fontId="59" fillId="4" borderId="0" xfId="2" applyNumberFormat="1" applyFont="1" applyFill="1" applyBorder="1" applyAlignment="1">
      <alignment vertical="center"/>
    </xf>
    <xf numFmtId="3" fontId="20" fillId="4" borderId="0" xfId="2" applyNumberFormat="1" applyFont="1" applyFill="1" applyBorder="1" applyAlignment="1">
      <alignment vertical="center"/>
    </xf>
    <xf numFmtId="0" fontId="60" fillId="0" borderId="0" xfId="0" applyFont="1"/>
    <xf numFmtId="3" fontId="20" fillId="4" borderId="0" xfId="2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61" fillId="0" borderId="0" xfId="0" applyFont="1"/>
    <xf numFmtId="0" fontId="62" fillId="0" borderId="0" xfId="0" applyFont="1"/>
    <xf numFmtId="164" fontId="5" fillId="0" borderId="0" xfId="1" applyNumberFormat="1" applyFont="1"/>
    <xf numFmtId="9" fontId="0" fillId="0" borderId="0" xfId="1" applyFont="1"/>
    <xf numFmtId="164" fontId="9" fillId="4" borderId="0" xfId="0" applyNumberFormat="1" applyFont="1" applyFill="1"/>
    <xf numFmtId="0" fontId="64" fillId="4" borderId="0" xfId="0" applyFont="1" applyFill="1"/>
    <xf numFmtId="0" fontId="66" fillId="4" borderId="0" xfId="0" applyFont="1" applyFill="1" applyBorder="1" applyAlignment="1"/>
    <xf numFmtId="17" fontId="55" fillId="16" borderId="0" xfId="0" quotePrefix="1" applyNumberFormat="1" applyFont="1" applyFill="1" applyBorder="1" applyAlignment="1">
      <alignment horizontal="center" vertical="center"/>
    </xf>
    <xf numFmtId="0" fontId="55" fillId="16" borderId="0" xfId="0" applyFont="1" applyFill="1" applyBorder="1" applyAlignment="1">
      <alignment horizontal="center" vertical="center"/>
    </xf>
    <xf numFmtId="0" fontId="68" fillId="4" borderId="0" xfId="0" applyFont="1" applyFill="1" applyBorder="1" applyAlignment="1">
      <alignment horizontal="center" vertical="center"/>
    </xf>
    <xf numFmtId="165" fontId="68" fillId="4" borderId="0" xfId="0" applyNumberFormat="1" applyFont="1" applyFill="1" applyBorder="1" applyAlignment="1">
      <alignment horizontal="center" vertical="center"/>
    </xf>
    <xf numFmtId="164" fontId="64" fillId="4" borderId="0" xfId="1" applyNumberFormat="1" applyFont="1" applyFill="1" applyBorder="1" applyAlignment="1">
      <alignment horizontal="center" vertical="center"/>
    </xf>
    <xf numFmtId="0" fontId="64" fillId="4" borderId="0" xfId="0" applyFont="1" applyFill="1" applyBorder="1" applyAlignment="1">
      <alignment horizontal="left" vertical="center"/>
    </xf>
    <xf numFmtId="1" fontId="60" fillId="4" borderId="0" xfId="3" applyNumberFormat="1" applyFont="1" applyFill="1" applyAlignment="1">
      <alignment horizontal="center"/>
    </xf>
    <xf numFmtId="1" fontId="70" fillId="4" borderId="0" xfId="0" applyNumberFormat="1" applyFont="1" applyFill="1" applyAlignment="1">
      <alignment horizontal="center" vertical="center"/>
    </xf>
    <xf numFmtId="1" fontId="71" fillId="4" borderId="0" xfId="3" applyNumberFormat="1" applyFont="1" applyFill="1" applyAlignment="1">
      <alignment horizontal="center"/>
    </xf>
    <xf numFmtId="0" fontId="72" fillId="4" borderId="0" xfId="0" applyFont="1" applyFill="1" applyBorder="1" applyAlignment="1">
      <alignment horizontal="center" vertical="center"/>
    </xf>
    <xf numFmtId="0" fontId="65" fillId="4" borderId="0" xfId="0" applyFont="1" applyFill="1"/>
    <xf numFmtId="1" fontId="21" fillId="0" borderId="0" xfId="3" applyNumberFormat="1"/>
    <xf numFmtId="165" fontId="60" fillId="0" borderId="0" xfId="0" applyNumberFormat="1" applyFont="1"/>
    <xf numFmtId="0" fontId="63" fillId="4" borderId="0" xfId="0" applyFont="1" applyFill="1"/>
    <xf numFmtId="0" fontId="75" fillId="15" borderId="0" xfId="0" applyFont="1" applyFill="1" applyBorder="1" applyAlignment="1"/>
    <xf numFmtId="17" fontId="25" fillId="15" borderId="0" xfId="0" quotePrefix="1" applyNumberFormat="1" applyFont="1" applyFill="1" applyBorder="1" applyAlignment="1">
      <alignment horizontal="center" vertical="center"/>
    </xf>
    <xf numFmtId="0" fontId="17" fillId="15" borderId="0" xfId="0" applyFont="1" applyFill="1" applyAlignment="1">
      <alignment horizontal="center" vertical="center" wrapText="1"/>
    </xf>
    <xf numFmtId="1" fontId="76" fillId="8" borderId="0" xfId="0" applyNumberFormat="1" applyFont="1" applyFill="1" applyBorder="1" applyAlignment="1">
      <alignment horizontal="center" vertical="center"/>
    </xf>
    <xf numFmtId="0" fontId="63" fillId="4" borderId="0" xfId="0" applyFont="1" applyFill="1" applyAlignment="1">
      <alignment horizontal="right"/>
    </xf>
    <xf numFmtId="0" fontId="43" fillId="15" borderId="0" xfId="0" applyFont="1" applyFill="1" applyAlignment="1">
      <alignment horizontal="center" vertical="center" wrapText="1"/>
    </xf>
    <xf numFmtId="0" fontId="28" fillId="8" borderId="0" xfId="0" applyFont="1" applyFill="1" applyBorder="1" applyAlignment="1">
      <alignment horizontal="left" vertical="center" wrapText="1" indent="1"/>
    </xf>
    <xf numFmtId="0" fontId="78" fillId="4" borderId="0" xfId="0" applyFont="1" applyFill="1" applyAlignment="1"/>
    <xf numFmtId="0" fontId="25" fillId="15" borderId="0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1" fontId="79" fillId="8" borderId="0" xfId="0" applyNumberFormat="1" applyFont="1" applyFill="1" applyBorder="1" applyAlignment="1">
      <alignment horizontal="center" vertical="center"/>
    </xf>
    <xf numFmtId="164" fontId="28" fillId="8" borderId="0" xfId="1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64" fontId="30" fillId="4" borderId="0" xfId="1" applyNumberFormat="1" applyFont="1" applyFill="1" applyBorder="1" applyAlignment="1">
      <alignment horizontal="center" vertical="center"/>
    </xf>
    <xf numFmtId="0" fontId="0" fillId="8" borderId="0" xfId="0" applyFill="1"/>
    <xf numFmtId="0" fontId="28" fillId="4" borderId="0" xfId="0" applyFont="1" applyFill="1" applyBorder="1" applyAlignment="1">
      <alignment horizontal="center" vertical="center"/>
    </xf>
    <xf numFmtId="9" fontId="22" fillId="4" borderId="0" xfId="1" applyNumberFormat="1" applyFont="1" applyFill="1" applyBorder="1" applyAlignment="1">
      <alignment horizontal="center" vertical="center"/>
    </xf>
    <xf numFmtId="164" fontId="25" fillId="4" borderId="0" xfId="1" applyNumberFormat="1" applyFont="1" applyFill="1" applyBorder="1" applyAlignment="1">
      <alignment horizontal="center" vertical="center"/>
    </xf>
    <xf numFmtId="164" fontId="30" fillId="4" borderId="0" xfId="1" applyNumberFormat="1" applyFont="1" applyFill="1"/>
    <xf numFmtId="0" fontId="30" fillId="4" borderId="0" xfId="0" applyFont="1" applyFill="1" applyBorder="1"/>
    <xf numFmtId="1" fontId="3" fillId="2" borderId="0" xfId="0" applyNumberFormat="1" applyFont="1" applyFill="1" applyAlignment="1">
      <alignment horizontal="center" readingOrder="2"/>
    </xf>
    <xf numFmtId="0" fontId="80" fillId="0" borderId="0" xfId="3" applyFont="1" applyBorder="1" applyAlignment="1">
      <alignment vertical="center" wrapText="1"/>
    </xf>
    <xf numFmtId="0" fontId="70" fillId="4" borderId="0" xfId="0" applyFont="1" applyFill="1"/>
    <xf numFmtId="0" fontId="2" fillId="16" borderId="0" xfId="0" applyFont="1" applyFill="1" applyBorder="1" applyAlignment="1">
      <alignment horizontal="center" vertical="center"/>
    </xf>
    <xf numFmtId="0" fontId="82" fillId="0" borderId="0" xfId="3" applyFont="1" applyAlignment="1"/>
    <xf numFmtId="165" fontId="0" fillId="0" borderId="0" xfId="0" applyNumberFormat="1"/>
    <xf numFmtId="1" fontId="55" fillId="14" borderId="21" xfId="0" applyNumberFormat="1" applyFont="1" applyFill="1" applyBorder="1" applyAlignment="1">
      <alignment horizontal="center" vertical="center"/>
    </xf>
    <xf numFmtId="1" fontId="56" fillId="4" borderId="0" xfId="0" applyNumberFormat="1" applyFont="1" applyFill="1" applyBorder="1" applyAlignment="1">
      <alignment horizontal="center" vertical="center" wrapText="1"/>
    </xf>
    <xf numFmtId="1" fontId="56" fillId="4" borderId="24" xfId="0" applyNumberFormat="1" applyFont="1" applyFill="1" applyBorder="1" applyAlignment="1">
      <alignment horizontal="center" vertical="center"/>
    </xf>
    <xf numFmtId="1" fontId="56" fillId="4" borderId="34" xfId="0" applyNumberFormat="1" applyFont="1" applyFill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1" fontId="83" fillId="4" borderId="21" xfId="0" applyNumberFormat="1" applyFont="1" applyFill="1" applyBorder="1" applyAlignment="1">
      <alignment horizontal="center" vertical="center"/>
    </xf>
    <xf numFmtId="1" fontId="83" fillId="4" borderId="0" xfId="0" applyNumberFormat="1" applyFont="1" applyFill="1" applyBorder="1" applyAlignment="1">
      <alignment horizontal="center" vertical="center"/>
    </xf>
    <xf numFmtId="1" fontId="56" fillId="4" borderId="24" xfId="1" applyNumberFormat="1" applyFont="1" applyFill="1" applyBorder="1" applyAlignment="1">
      <alignment horizontal="center" vertical="center"/>
    </xf>
    <xf numFmtId="1" fontId="59" fillId="4" borderId="21" xfId="0" applyNumberFormat="1" applyFont="1" applyFill="1" applyBorder="1" applyAlignment="1">
      <alignment horizontal="center" vertical="center"/>
    </xf>
    <xf numFmtId="1" fontId="20" fillId="4" borderId="22" xfId="0" applyNumberFormat="1" applyFont="1" applyFill="1" applyBorder="1" applyAlignment="1">
      <alignment horizontal="center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0" fontId="83" fillId="4" borderId="20" xfId="0" applyFont="1" applyFill="1" applyBorder="1" applyAlignment="1">
      <alignment vertical="top"/>
    </xf>
    <xf numFmtId="16" fontId="54" fillId="4" borderId="35" xfId="0" quotePrefix="1" applyNumberFormat="1" applyFont="1" applyFill="1" applyBorder="1" applyAlignment="1">
      <alignment horizontal="center" vertical="center" wrapText="1"/>
    </xf>
    <xf numFmtId="0" fontId="60" fillId="4" borderId="0" xfId="0" applyFont="1" applyFill="1"/>
    <xf numFmtId="0" fontId="85" fillId="3" borderId="39" xfId="0" applyFont="1" applyFill="1" applyBorder="1" applyAlignment="1">
      <alignment horizontal="center" wrapText="1"/>
    </xf>
    <xf numFmtId="0" fontId="61" fillId="8" borderId="26" xfId="0" applyFont="1" applyFill="1" applyBorder="1"/>
    <xf numFmtId="0" fontId="20" fillId="8" borderId="26" xfId="0" applyFont="1" applyFill="1" applyBorder="1" applyAlignment="1">
      <alignment horizontal="center"/>
    </xf>
    <xf numFmtId="0" fontId="61" fillId="8" borderId="31" xfId="0" applyFont="1" applyFill="1" applyBorder="1"/>
    <xf numFmtId="0" fontId="20" fillId="8" borderId="31" xfId="0" applyFont="1" applyFill="1" applyBorder="1" applyAlignment="1">
      <alignment horizontal="center"/>
    </xf>
    <xf numFmtId="0" fontId="61" fillId="8" borderId="40" xfId="0" applyFont="1" applyFill="1" applyBorder="1"/>
    <xf numFmtId="0" fontId="20" fillId="8" borderId="41" xfId="0" applyFont="1" applyFill="1" applyBorder="1" applyAlignment="1">
      <alignment horizontal="center"/>
    </xf>
    <xf numFmtId="0" fontId="61" fillId="8" borderId="42" xfId="0" applyFont="1" applyFill="1" applyBorder="1"/>
    <xf numFmtId="0" fontId="20" fillId="8" borderId="42" xfId="0" applyFont="1" applyFill="1" applyBorder="1" applyAlignment="1">
      <alignment horizontal="center"/>
    </xf>
    <xf numFmtId="0" fontId="14" fillId="3" borderId="45" xfId="0" applyFont="1" applyFill="1" applyBorder="1" applyAlignment="1">
      <alignment horizontal="center" vertical="center" wrapText="1"/>
    </xf>
    <xf numFmtId="0" fontId="86" fillId="3" borderId="46" xfId="0" applyFont="1" applyFill="1" applyBorder="1" applyAlignment="1">
      <alignment horizontal="center" vertical="center" wrapText="1"/>
    </xf>
    <xf numFmtId="0" fontId="74" fillId="4" borderId="47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81" fillId="16" borderId="48" xfId="0" applyFont="1" applyFill="1" applyBorder="1" applyAlignment="1">
      <alignment vertical="center"/>
    </xf>
    <xf numFmtId="0" fontId="10" fillId="16" borderId="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81" fillId="16" borderId="49" xfId="0" applyFont="1" applyFill="1" applyBorder="1" applyAlignment="1">
      <alignment vertical="center"/>
    </xf>
    <xf numFmtId="0" fontId="10" fillId="16" borderId="6" xfId="0" applyFont="1" applyFill="1" applyBorder="1" applyAlignment="1">
      <alignment horizontal="center" vertical="center"/>
    </xf>
    <xf numFmtId="0" fontId="81" fillId="16" borderId="27" xfId="0" applyFont="1" applyFill="1" applyBorder="1" applyAlignment="1">
      <alignment vertical="center"/>
    </xf>
    <xf numFmtId="0" fontId="10" fillId="16" borderId="6" xfId="0" applyFont="1" applyFill="1" applyBorder="1" applyAlignment="1">
      <alignment horizontal="center"/>
    </xf>
    <xf numFmtId="0" fontId="81" fillId="4" borderId="27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/>
    </xf>
    <xf numFmtId="0" fontId="86" fillId="3" borderId="32" xfId="0" applyFont="1" applyFill="1" applyBorder="1" applyAlignment="1">
      <alignment horizontal="left"/>
    </xf>
    <xf numFmtId="0" fontId="86" fillId="3" borderId="29" xfId="0" applyFont="1" applyFill="1" applyBorder="1" applyAlignment="1">
      <alignment horizontal="center"/>
    </xf>
    <xf numFmtId="0" fontId="20" fillId="8" borderId="40" xfId="0" applyFont="1" applyFill="1" applyBorder="1" applyAlignment="1">
      <alignment horizontal="center"/>
    </xf>
    <xf numFmtId="0" fontId="20" fillId="8" borderId="51" xfId="0" applyFont="1" applyFill="1" applyBorder="1" applyAlignment="1">
      <alignment horizontal="center"/>
    </xf>
    <xf numFmtId="0" fontId="20" fillId="8" borderId="10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/>
    </xf>
    <xf numFmtId="0" fontId="20" fillId="8" borderId="52" xfId="0" applyFont="1" applyFill="1" applyBorder="1" applyAlignment="1">
      <alignment horizontal="center"/>
    </xf>
    <xf numFmtId="165" fontId="20" fillId="4" borderId="22" xfId="1" applyNumberFormat="1" applyFont="1" applyFill="1" applyBorder="1" applyAlignment="1">
      <alignment horizontal="center" vertical="center"/>
    </xf>
    <xf numFmtId="0" fontId="89" fillId="4" borderId="0" xfId="0" applyFont="1" applyFill="1"/>
    <xf numFmtId="0" fontId="25" fillId="4" borderId="0" xfId="0" applyFont="1" applyFill="1" applyAlignment="1"/>
    <xf numFmtId="0" fontId="90" fillId="4" borderId="0" xfId="0" applyFont="1" applyFill="1"/>
    <xf numFmtId="0" fontId="91" fillId="0" borderId="0" xfId="0" applyFont="1"/>
    <xf numFmtId="0" fontId="89" fillId="2" borderId="0" xfId="0" applyFont="1" applyFill="1" applyAlignment="1">
      <alignment vertical="center"/>
    </xf>
    <xf numFmtId="0" fontId="25" fillId="4" borderId="0" xfId="0" applyFont="1" applyFill="1" applyAlignment="1">
      <alignment horizontal="center" vertical="center"/>
    </xf>
    <xf numFmtId="0" fontId="89" fillId="0" borderId="0" xfId="0" applyFont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90" fillId="2" borderId="0" xfId="0" applyFont="1" applyFill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/>
    </xf>
    <xf numFmtId="164" fontId="15" fillId="2" borderId="0" xfId="1" applyNumberFormat="1" applyFont="1" applyFill="1" applyAlignment="1">
      <alignment horizontal="center" vertical="center"/>
    </xf>
    <xf numFmtId="165" fontId="15" fillId="2" borderId="0" xfId="0" applyNumberFormat="1" applyFont="1" applyFill="1" applyAlignment="1">
      <alignment horizontal="center" vertical="center"/>
    </xf>
    <xf numFmtId="1" fontId="90" fillId="4" borderId="0" xfId="0" applyNumberFormat="1" applyFont="1" applyFill="1" applyAlignment="1">
      <alignment horizontal="center" vertical="center"/>
    </xf>
    <xf numFmtId="164" fontId="15" fillId="3" borderId="0" xfId="1" applyNumberFormat="1" applyFont="1" applyFill="1" applyAlignment="1">
      <alignment horizontal="center" vertical="center"/>
    </xf>
    <xf numFmtId="0" fontId="92" fillId="4" borderId="0" xfId="0" applyFont="1" applyFill="1" applyAlignment="1">
      <alignment horizontal="right"/>
    </xf>
    <xf numFmtId="0" fontId="92" fillId="4" borderId="0" xfId="0" applyFont="1" applyFill="1" applyAlignment="1">
      <alignment horizontal="left" vertical="center"/>
    </xf>
    <xf numFmtId="17" fontId="93" fillId="15" borderId="0" xfId="0" applyNumberFormat="1" applyFont="1" applyFill="1" applyBorder="1" applyAlignment="1">
      <alignment vertical="center"/>
    </xf>
    <xf numFmtId="9" fontId="56" fillId="8" borderId="0" xfId="0" applyNumberFormat="1" applyFont="1" applyFill="1" applyAlignment="1">
      <alignment horizontal="center" vertical="center"/>
    </xf>
    <xf numFmtId="1" fontId="94" fillId="4" borderId="0" xfId="0" applyNumberFormat="1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0" fillId="18" borderId="0" xfId="0" applyFill="1"/>
    <xf numFmtId="0" fontId="15" fillId="18" borderId="0" xfId="0" applyFont="1" applyFill="1" applyAlignment="1">
      <alignment horizontal="center" vertical="center"/>
    </xf>
    <xf numFmtId="0" fontId="95" fillId="19" borderId="53" xfId="0" applyFont="1" applyFill="1" applyBorder="1" applyAlignment="1">
      <alignment horizontal="center" vertical="center"/>
    </xf>
    <xf numFmtId="0" fontId="95" fillId="19" borderId="53" xfId="0" applyFont="1" applyFill="1" applyBorder="1" applyAlignment="1">
      <alignment horizontal="center" vertical="center" wrapText="1"/>
    </xf>
    <xf numFmtId="0" fontId="28" fillId="20" borderId="53" xfId="0" applyFont="1" applyFill="1" applyBorder="1" applyAlignment="1">
      <alignment horizontal="center" vertical="center" wrapText="1"/>
    </xf>
    <xf numFmtId="0" fontId="96" fillId="20" borderId="53" xfId="0" applyFont="1" applyFill="1" applyBorder="1" applyAlignment="1">
      <alignment horizontal="center" vertical="center"/>
    </xf>
    <xf numFmtId="0" fontId="97" fillId="19" borderId="53" xfId="0" applyFont="1" applyFill="1" applyBorder="1" applyAlignment="1">
      <alignment horizontal="center" vertical="center"/>
    </xf>
    <xf numFmtId="0" fontId="28" fillId="20" borderId="53" xfId="0" applyFont="1" applyFill="1" applyBorder="1" applyAlignment="1">
      <alignment horizontal="center" vertical="center"/>
    </xf>
    <xf numFmtId="0" fontId="25" fillId="4" borderId="54" xfId="0" applyFont="1" applyFill="1" applyBorder="1" applyAlignment="1">
      <alignment horizontal="center" vertical="center"/>
    </xf>
    <xf numFmtId="0" fontId="75" fillId="4" borderId="54" xfId="0" applyFont="1" applyFill="1" applyBorder="1" applyAlignment="1">
      <alignment horizontal="center" vertical="center"/>
    </xf>
    <xf numFmtId="0" fontId="47" fillId="4" borderId="54" xfId="0" applyFont="1" applyFill="1" applyBorder="1"/>
    <xf numFmtId="0" fontId="0" fillId="0" borderId="0" xfId="0" applyAlignment="1">
      <alignment horizontal="left"/>
    </xf>
    <xf numFmtId="0" fontId="33" fillId="4" borderId="0" xfId="0" applyFont="1" applyFill="1"/>
    <xf numFmtId="0" fontId="69" fillId="0" borderId="0" xfId="0" applyFont="1"/>
    <xf numFmtId="0" fontId="26" fillId="0" borderId="0" xfId="0" applyFont="1"/>
    <xf numFmtId="0" fontId="105" fillId="0" borderId="0" xfId="0" applyFont="1"/>
    <xf numFmtId="0" fontId="107" fillId="16" borderId="25" xfId="0" applyFont="1" applyFill="1" applyBorder="1" applyAlignment="1">
      <alignment horizontal="center"/>
    </xf>
    <xf numFmtId="0" fontId="65" fillId="4" borderId="25" xfId="0" applyFont="1" applyFill="1" applyBorder="1" applyAlignment="1">
      <alignment horizontal="center" vertical="center"/>
    </xf>
    <xf numFmtId="0" fontId="65" fillId="8" borderId="25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08" fillId="16" borderId="55" xfId="0" applyFont="1" applyFill="1" applyBorder="1" applyAlignment="1">
      <alignment horizontal="center"/>
    </xf>
    <xf numFmtId="0" fontId="65" fillId="4" borderId="55" xfId="0" applyFont="1" applyFill="1" applyBorder="1" applyAlignment="1">
      <alignment horizontal="center" vertical="center"/>
    </xf>
    <xf numFmtId="0" fontId="65" fillId="8" borderId="55" xfId="0" applyFont="1" applyFill="1" applyBorder="1" applyAlignment="1">
      <alignment horizontal="center" vertical="center"/>
    </xf>
    <xf numFmtId="0" fontId="69" fillId="4" borderId="25" xfId="0" applyFont="1" applyFill="1" applyBorder="1" applyAlignment="1"/>
    <xf numFmtId="0" fontId="69" fillId="4" borderId="0" xfId="0" applyFont="1" applyFill="1" applyBorder="1" applyAlignment="1"/>
    <xf numFmtId="0" fontId="69" fillId="4" borderId="26" xfId="0" applyFont="1" applyFill="1" applyBorder="1" applyAlignment="1"/>
    <xf numFmtId="0" fontId="69" fillId="4" borderId="25" xfId="0" applyFont="1" applyFill="1" applyBorder="1"/>
    <xf numFmtId="0" fontId="69" fillId="4" borderId="0" xfId="0" applyFont="1" applyFill="1" applyBorder="1"/>
    <xf numFmtId="0" fontId="69" fillId="4" borderId="26" xfId="0" applyFont="1" applyFill="1" applyBorder="1"/>
    <xf numFmtId="0" fontId="69" fillId="4" borderId="55" xfId="0" applyFont="1" applyFill="1" applyBorder="1" applyAlignment="1"/>
    <xf numFmtId="0" fontId="69" fillId="4" borderId="56" xfId="0" applyFont="1" applyFill="1" applyBorder="1" applyAlignment="1"/>
    <xf numFmtId="0" fontId="69" fillId="4" borderId="55" xfId="0" applyFont="1" applyFill="1" applyBorder="1"/>
    <xf numFmtId="0" fontId="69" fillId="4" borderId="56" xfId="0" applyFont="1" applyFill="1" applyBorder="1"/>
    <xf numFmtId="0" fontId="110" fillId="0" borderId="0" xfId="0" applyFont="1" applyAlignment="1"/>
    <xf numFmtId="0" fontId="112" fillId="4" borderId="0" xfId="0" applyFont="1" applyFill="1"/>
    <xf numFmtId="0" fontId="112" fillId="0" borderId="0" xfId="0" applyFont="1"/>
    <xf numFmtId="164" fontId="112" fillId="0" borderId="0" xfId="0" applyNumberFormat="1" applyFont="1"/>
    <xf numFmtId="164" fontId="49" fillId="3" borderId="0" xfId="1" applyNumberFormat="1" applyFont="1" applyFill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3" borderId="0" xfId="0" applyFont="1" applyFill="1" applyAlignment="1">
      <alignment vertical="center"/>
    </xf>
    <xf numFmtId="165" fontId="56" fillId="4" borderId="0" xfId="1" applyNumberFormat="1" applyFont="1" applyFill="1" applyBorder="1" applyAlignment="1">
      <alignment horizontal="center" vertical="center"/>
    </xf>
    <xf numFmtId="0" fontId="113" fillId="21" borderId="59" xfId="0" applyFont="1" applyFill="1" applyBorder="1" applyAlignment="1">
      <alignment horizontal="center" vertical="center" wrapText="1" readingOrder="1"/>
    </xf>
    <xf numFmtId="0" fontId="115" fillId="19" borderId="0" xfId="0" applyFont="1" applyFill="1" applyBorder="1"/>
    <xf numFmtId="17" fontId="28" fillId="19" borderId="0" xfId="0" applyNumberFormat="1" applyFont="1" applyFill="1" applyBorder="1" applyAlignment="1">
      <alignment horizontal="center" vertical="center" wrapText="1"/>
    </xf>
    <xf numFmtId="0" fontId="28" fillId="19" borderId="0" xfId="0" applyFont="1" applyFill="1" applyBorder="1" applyAlignment="1">
      <alignment horizontal="center" vertical="center" wrapText="1"/>
    </xf>
    <xf numFmtId="0" fontId="14" fillId="4" borderId="0" xfId="0" applyFont="1" applyFill="1" applyBorder="1"/>
    <xf numFmtId="17" fontId="24" fillId="4" borderId="0" xfId="0" applyNumberFormat="1" applyFont="1" applyFill="1" applyBorder="1" applyAlignment="1">
      <alignment horizontal="center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28" fillId="22" borderId="0" xfId="0" applyFont="1" applyFill="1" applyBorder="1" applyAlignment="1">
      <alignment vertical="center"/>
    </xf>
    <xf numFmtId="0" fontId="28" fillId="22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vertical="center"/>
    </xf>
    <xf numFmtId="165" fontId="28" fillId="4" borderId="0" xfId="0" applyNumberFormat="1" applyFont="1" applyFill="1" applyBorder="1" applyAlignment="1">
      <alignment horizontal="center" vertical="center"/>
    </xf>
    <xf numFmtId="1" fontId="80" fillId="0" borderId="0" xfId="3" applyNumberFormat="1" applyFont="1" applyBorder="1" applyAlignment="1">
      <alignment vertical="center" wrapText="1"/>
    </xf>
    <xf numFmtId="0" fontId="3" fillId="2" borderId="0" xfId="0" applyFont="1" applyFill="1" applyAlignment="1">
      <alignment horizontal="left"/>
    </xf>
    <xf numFmtId="3" fontId="30" fillId="0" borderId="29" xfId="0" applyNumberFormat="1" applyFont="1" applyBorder="1" applyAlignment="1">
      <alignment horizontal="center" wrapText="1" readingOrder="1"/>
    </xf>
    <xf numFmtId="0" fontId="30" fillId="0" borderId="29" xfId="0" applyFont="1" applyBorder="1" applyAlignment="1">
      <alignment horizontal="center" wrapText="1" readingOrder="1"/>
    </xf>
    <xf numFmtId="0" fontId="29" fillId="21" borderId="32" xfId="0" applyFont="1" applyFill="1" applyBorder="1" applyAlignment="1">
      <alignment horizontal="center" vertical="center" readingOrder="1"/>
    </xf>
    <xf numFmtId="0" fontId="22" fillId="0" borderId="47" xfId="0" applyFont="1" applyBorder="1" applyAlignment="1">
      <alignment horizontal="left" wrapText="1" readingOrder="1"/>
    </xf>
    <xf numFmtId="0" fontId="117" fillId="23" borderId="32" xfId="0" applyFont="1" applyFill="1" applyBorder="1" applyAlignment="1">
      <alignment horizontal="center" wrapText="1" readingOrder="1"/>
    </xf>
    <xf numFmtId="0" fontId="117" fillId="23" borderId="59" xfId="0" applyFont="1" applyFill="1" applyBorder="1" applyAlignment="1">
      <alignment horizontal="center" wrapText="1" readingOrder="1"/>
    </xf>
    <xf numFmtId="0" fontId="117" fillId="0" borderId="47" xfId="0" applyFont="1" applyBorder="1" applyAlignment="1">
      <alignment horizontal="left" wrapText="1" readingOrder="1"/>
    </xf>
    <xf numFmtId="0" fontId="118" fillId="0" borderId="29" xfId="0" applyFont="1" applyBorder="1" applyAlignment="1">
      <alignment horizontal="center" wrapText="1" readingOrder="1"/>
    </xf>
    <xf numFmtId="0" fontId="118" fillId="0" borderId="26" xfId="0" applyFont="1" applyFill="1" applyBorder="1" applyAlignment="1">
      <alignment horizontal="center" wrapText="1" readingOrder="1"/>
    </xf>
    <xf numFmtId="0" fontId="42" fillId="0" borderId="0" xfId="0" applyFont="1"/>
    <xf numFmtId="3" fontId="62" fillId="0" borderId="49" xfId="0" applyNumberFormat="1" applyFont="1" applyBorder="1" applyAlignment="1">
      <alignment horizontal="center"/>
    </xf>
    <xf numFmtId="165" fontId="3" fillId="3" borderId="0" xfId="0" applyNumberFormat="1" applyFont="1" applyFill="1" applyAlignment="1">
      <alignment horizontal="center" vertical="center"/>
    </xf>
    <xf numFmtId="164" fontId="3" fillId="3" borderId="0" xfId="1" applyNumberFormat="1" applyFont="1" applyFill="1" applyAlignment="1">
      <alignment horizontal="center" vertical="center"/>
    </xf>
    <xf numFmtId="164" fontId="51" fillId="3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22" fillId="0" borderId="63" xfId="0" applyFont="1" applyBorder="1" applyAlignment="1">
      <alignment horizontal="center" vertical="center" wrapText="1" readingOrder="2"/>
    </xf>
    <xf numFmtId="0" fontId="123" fillId="0" borderId="63" xfId="0" applyFont="1" applyBorder="1" applyAlignment="1">
      <alignment horizontal="right" vertical="center" wrapText="1" readingOrder="2"/>
    </xf>
    <xf numFmtId="164" fontId="90" fillId="4" borderId="0" xfId="1" applyNumberFormat="1" applyFont="1" applyFill="1" applyAlignment="1">
      <alignment horizontal="center" vertical="center"/>
    </xf>
    <xf numFmtId="165" fontId="5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164" fontId="129" fillId="4" borderId="0" xfId="1" applyNumberFormat="1" applyFont="1" applyFill="1" applyAlignment="1">
      <alignment horizontal="center"/>
    </xf>
    <xf numFmtId="164" fontId="130" fillId="4" borderId="0" xfId="1" applyNumberFormat="1" applyFont="1" applyFill="1" applyAlignment="1">
      <alignment horizontal="center"/>
    </xf>
    <xf numFmtId="0" fontId="130" fillId="4" borderId="0" xfId="0" applyFont="1" applyFill="1"/>
    <xf numFmtId="9" fontId="112" fillId="0" borderId="0" xfId="1" applyFont="1"/>
    <xf numFmtId="16" fontId="112" fillId="0" borderId="0" xfId="0" applyNumberFormat="1" applyFont="1"/>
    <xf numFmtId="0" fontId="57" fillId="0" borderId="2" xfId="0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164" fontId="131" fillId="0" borderId="2" xfId="1" applyNumberFormat="1" applyFont="1" applyFill="1" applyBorder="1" applyAlignment="1">
      <alignment horizontal="center" vertical="center"/>
    </xf>
    <xf numFmtId="164" fontId="131" fillId="0" borderId="2" xfId="0" applyNumberFormat="1" applyFont="1" applyFill="1" applyBorder="1" applyAlignment="1">
      <alignment horizontal="center" vertical="center"/>
    </xf>
    <xf numFmtId="165" fontId="44" fillId="0" borderId="2" xfId="0" applyNumberFormat="1" applyFont="1" applyFill="1" applyBorder="1" applyAlignment="1">
      <alignment horizontal="center" vertical="center"/>
    </xf>
    <xf numFmtId="1" fontId="130" fillId="4" borderId="0" xfId="0" applyNumberFormat="1" applyFont="1" applyFill="1" applyAlignment="1">
      <alignment horizontal="center"/>
    </xf>
    <xf numFmtId="0" fontId="130" fillId="4" borderId="0" xfId="0" applyFont="1" applyFill="1" applyAlignment="1">
      <alignment horizontal="left"/>
    </xf>
    <xf numFmtId="1" fontId="112" fillId="0" borderId="0" xfId="0" applyNumberFormat="1" applyFont="1"/>
    <xf numFmtId="0" fontId="48" fillId="0" borderId="2" xfId="0" applyFont="1" applyBorder="1" applyAlignment="1">
      <alignment horizontal="center" vertical="center"/>
    </xf>
    <xf numFmtId="0" fontId="0" fillId="10" borderId="0" xfId="0" applyFill="1"/>
    <xf numFmtId="168" fontId="133" fillId="10" borderId="0" xfId="0" applyNumberFormat="1" applyFont="1" applyFill="1" applyAlignment="1">
      <alignment horizontal="center"/>
    </xf>
    <xf numFmtId="164" fontId="133" fillId="10" borderId="0" xfId="1" applyNumberFormat="1" applyFont="1" applyFill="1" applyAlignment="1">
      <alignment horizontal="center"/>
    </xf>
    <xf numFmtId="0" fontId="0" fillId="24" borderId="16" xfId="0" applyFill="1" applyBorder="1"/>
    <xf numFmtId="0" fontId="0" fillId="24" borderId="16" xfId="0" applyFont="1" applyFill="1" applyBorder="1"/>
    <xf numFmtId="0" fontId="0" fillId="24" borderId="0" xfId="0" applyFill="1" applyBorder="1"/>
    <xf numFmtId="0" fontId="0" fillId="24" borderId="0" xfId="0" applyFont="1" applyFill="1" applyBorder="1"/>
    <xf numFmtId="0" fontId="112" fillId="24" borderId="0" xfId="0" applyFont="1" applyFill="1" applyBorder="1"/>
    <xf numFmtId="0" fontId="48" fillId="26" borderId="71" xfId="0" quotePrefix="1" applyFont="1" applyFill="1" applyBorder="1" applyAlignment="1">
      <alignment horizontal="center" vertical="center"/>
    </xf>
    <xf numFmtId="16" fontId="48" fillId="26" borderId="72" xfId="0" quotePrefix="1" applyNumberFormat="1" applyFont="1" applyFill="1" applyBorder="1" applyAlignment="1">
      <alignment horizontal="center" vertical="center"/>
    </xf>
    <xf numFmtId="0" fontId="48" fillId="26" borderId="72" xfId="0" applyFont="1" applyFill="1" applyBorder="1" applyAlignment="1">
      <alignment horizontal="center" vertical="center" wrapText="1"/>
    </xf>
    <xf numFmtId="0" fontId="48" fillId="26" borderId="73" xfId="0" applyFont="1" applyFill="1" applyBorder="1" applyAlignment="1">
      <alignment horizontal="center" vertical="center" wrapText="1"/>
    </xf>
    <xf numFmtId="0" fontId="48" fillId="26" borderId="74" xfId="0" applyFont="1" applyFill="1" applyBorder="1" applyAlignment="1">
      <alignment horizontal="center" vertical="center" wrapText="1"/>
    </xf>
    <xf numFmtId="3" fontId="48" fillId="27" borderId="69" xfId="0" applyNumberFormat="1" applyFont="1" applyFill="1" applyBorder="1" applyAlignment="1">
      <alignment horizontal="right" vertical="center" indent="1"/>
    </xf>
    <xf numFmtId="3" fontId="48" fillId="27" borderId="68" xfId="0" applyNumberFormat="1" applyFont="1" applyFill="1" applyBorder="1" applyAlignment="1">
      <alignment horizontal="right" vertical="center" indent="1"/>
    </xf>
    <xf numFmtId="169" fontId="138" fillId="0" borderId="9" xfId="0" applyNumberFormat="1" applyFont="1" applyFill="1" applyBorder="1" applyAlignment="1">
      <alignment horizontal="right" vertical="center" indent="1"/>
    </xf>
    <xf numFmtId="3" fontId="138" fillId="0" borderId="7" xfId="0" applyNumberFormat="1" applyFont="1" applyFill="1" applyBorder="1" applyAlignment="1">
      <alignment horizontal="right" vertical="center" indent="1"/>
    </xf>
    <xf numFmtId="3" fontId="138" fillId="0" borderId="78" xfId="0" applyNumberFormat="1" applyFont="1" applyFill="1" applyBorder="1" applyAlignment="1">
      <alignment horizontal="right" vertical="center" indent="1"/>
    </xf>
    <xf numFmtId="3" fontId="138" fillId="0" borderId="74" xfId="0" applyNumberFormat="1" applyFont="1" applyFill="1" applyBorder="1" applyAlignment="1">
      <alignment horizontal="right" vertical="center" indent="1"/>
    </xf>
    <xf numFmtId="3" fontId="48" fillId="27" borderId="80" xfId="0" applyNumberFormat="1" applyFont="1" applyFill="1" applyBorder="1" applyAlignment="1">
      <alignment horizontal="right" vertical="center" indent="1"/>
    </xf>
    <xf numFmtId="3" fontId="48" fillId="27" borderId="81" xfId="0" applyNumberFormat="1" applyFont="1" applyFill="1" applyBorder="1" applyAlignment="1">
      <alignment horizontal="right" vertical="center" indent="1"/>
    </xf>
    <xf numFmtId="3" fontId="138" fillId="0" borderId="9" xfId="0" applyNumberFormat="1" applyFont="1" applyFill="1" applyBorder="1" applyAlignment="1">
      <alignment horizontal="right" vertical="center" indent="1"/>
    </xf>
    <xf numFmtId="3" fontId="48" fillId="28" borderId="82" xfId="0" applyNumberFormat="1" applyFont="1" applyFill="1" applyBorder="1" applyAlignment="1">
      <alignment horizontal="right" vertical="center" indent="1"/>
    </xf>
    <xf numFmtId="169" fontId="138" fillId="27" borderId="67" xfId="0" applyNumberFormat="1" applyFont="1" applyFill="1" applyBorder="1" applyAlignment="1">
      <alignment horizontal="right" vertical="center" indent="1"/>
    </xf>
    <xf numFmtId="169" fontId="138" fillId="27" borderId="75" xfId="0" applyNumberFormat="1" applyFont="1" applyFill="1" applyBorder="1" applyAlignment="1">
      <alignment horizontal="right" vertical="center" indent="1"/>
    </xf>
    <xf numFmtId="170" fontId="138" fillId="27" borderId="82" xfId="0" applyNumberFormat="1" applyFont="1" applyFill="1" applyBorder="1" applyAlignment="1">
      <alignment horizontal="right" vertical="center" indent="1"/>
    </xf>
    <xf numFmtId="170" fontId="138" fillId="27" borderId="83" xfId="0" applyNumberFormat="1" applyFont="1" applyFill="1" applyBorder="1" applyAlignment="1">
      <alignment horizontal="right" vertical="center" indent="1"/>
    </xf>
    <xf numFmtId="169" fontId="112" fillId="27" borderId="67" xfId="0" applyNumberFormat="1" applyFont="1" applyFill="1" applyBorder="1" applyAlignment="1">
      <alignment horizontal="right" vertical="center" indent="1"/>
    </xf>
    <xf numFmtId="169" fontId="112" fillId="27" borderId="75" xfId="0" applyNumberFormat="1" applyFont="1" applyFill="1" applyBorder="1" applyAlignment="1">
      <alignment horizontal="right" vertical="center" indent="1"/>
    </xf>
    <xf numFmtId="3" fontId="112" fillId="27" borderId="75" xfId="0" applyNumberFormat="1" applyFont="1" applyFill="1" applyBorder="1" applyAlignment="1">
      <alignment horizontal="right" vertical="center" indent="1"/>
    </xf>
    <xf numFmtId="3" fontId="112" fillId="27" borderId="69" xfId="0" applyNumberFormat="1" applyFont="1" applyFill="1" applyBorder="1" applyAlignment="1">
      <alignment horizontal="right" vertical="center" indent="1"/>
    </xf>
    <xf numFmtId="3" fontId="112" fillId="27" borderId="86" xfId="0" applyNumberFormat="1" applyFont="1" applyFill="1" applyBorder="1" applyAlignment="1">
      <alignment horizontal="right" vertical="center" indent="1"/>
    </xf>
    <xf numFmtId="169" fontId="112" fillId="24" borderId="76" xfId="0" applyNumberFormat="1" applyFont="1" applyFill="1" applyBorder="1" applyAlignment="1">
      <alignment horizontal="right" vertical="center" indent="1"/>
    </xf>
    <xf numFmtId="169" fontId="112" fillId="24" borderId="2" xfId="0" applyNumberFormat="1" applyFont="1" applyFill="1" applyBorder="1" applyAlignment="1">
      <alignment horizontal="right" vertical="center" indent="1"/>
    </xf>
    <xf numFmtId="3" fontId="112" fillId="0" borderId="2" xfId="0" applyNumberFormat="1" applyFont="1" applyFill="1" applyBorder="1" applyAlignment="1">
      <alignment horizontal="right" vertical="center" indent="1"/>
    </xf>
    <xf numFmtId="3" fontId="112" fillId="0" borderId="14" xfId="0" applyNumberFormat="1" applyFont="1" applyFill="1" applyBorder="1" applyAlignment="1">
      <alignment horizontal="right" vertical="center" indent="1"/>
    </xf>
    <xf numFmtId="3" fontId="112" fillId="0" borderId="7" xfId="0" applyNumberFormat="1" applyFont="1" applyFill="1" applyBorder="1" applyAlignment="1">
      <alignment horizontal="right" vertical="center" indent="1"/>
    </xf>
    <xf numFmtId="169" fontId="112" fillId="24" borderId="27" xfId="0" applyNumberFormat="1" applyFont="1" applyFill="1" applyBorder="1" applyAlignment="1">
      <alignment horizontal="right" vertical="center" indent="1"/>
    </xf>
    <xf numFmtId="169" fontId="112" fillId="24" borderId="87" xfId="0" applyNumberFormat="1" applyFont="1" applyFill="1" applyBorder="1" applyAlignment="1">
      <alignment horizontal="right" vertical="center" indent="1"/>
    </xf>
    <xf numFmtId="0" fontId="0" fillId="24" borderId="15" xfId="0" applyFill="1" applyBorder="1"/>
    <xf numFmtId="0" fontId="0" fillId="24" borderId="15" xfId="0" applyFont="1" applyFill="1" applyBorder="1"/>
    <xf numFmtId="3" fontId="112" fillId="24" borderId="15" xfId="0" applyNumberFormat="1" applyFont="1" applyFill="1" applyBorder="1" applyAlignment="1">
      <alignment horizontal="right" vertical="center" indent="1"/>
    </xf>
    <xf numFmtId="0" fontId="112" fillId="24" borderId="15" xfId="0" applyFont="1" applyFill="1" applyBorder="1" applyAlignment="1">
      <alignment horizontal="right" vertical="center" indent="1"/>
    </xf>
    <xf numFmtId="3" fontId="112" fillId="24" borderId="0" xfId="0" applyNumberFormat="1" applyFont="1" applyFill="1" applyBorder="1" applyAlignment="1">
      <alignment horizontal="right" vertical="center" indent="1"/>
    </xf>
    <xf numFmtId="0" fontId="112" fillId="24" borderId="0" xfId="0" applyFont="1" applyFill="1" applyBorder="1" applyAlignment="1">
      <alignment horizontal="right" vertical="center" indent="1"/>
    </xf>
    <xf numFmtId="0" fontId="0" fillId="24" borderId="0" xfId="0" applyFill="1"/>
    <xf numFmtId="0" fontId="0" fillId="24" borderId="0" xfId="0" applyFont="1" applyFill="1"/>
    <xf numFmtId="3" fontId="112" fillId="24" borderId="16" xfId="0" applyNumberFormat="1" applyFont="1" applyFill="1" applyBorder="1" applyAlignment="1">
      <alignment horizontal="right" vertical="center" indent="1"/>
    </xf>
    <xf numFmtId="0" fontId="132" fillId="2" borderId="0" xfId="0" applyFont="1" applyFill="1" applyAlignment="1">
      <alignment horizontal="left"/>
    </xf>
    <xf numFmtId="0" fontId="141" fillId="16" borderId="0" xfId="0" applyFont="1" applyFill="1" applyBorder="1" applyAlignment="1">
      <alignment horizontal="left"/>
    </xf>
    <xf numFmtId="164" fontId="133" fillId="11" borderId="0" xfId="0" applyNumberFormat="1" applyFont="1" applyFill="1" applyAlignment="1">
      <alignment horizontal="center"/>
    </xf>
    <xf numFmtId="0" fontId="5" fillId="4" borderId="8" xfId="0" applyFont="1" applyFill="1" applyBorder="1"/>
    <xf numFmtId="164" fontId="5" fillId="4" borderId="9" xfId="1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right"/>
    </xf>
    <xf numFmtId="165" fontId="70" fillId="11" borderId="14" xfId="0" applyNumberFormat="1" applyFont="1" applyFill="1" applyBorder="1" applyAlignment="1">
      <alignment horizontal="right" vertical="center" indent="1"/>
    </xf>
    <xf numFmtId="164" fontId="133" fillId="11" borderId="14" xfId="0" applyNumberFormat="1" applyFont="1" applyFill="1" applyBorder="1" applyAlignment="1">
      <alignment horizontal="center"/>
    </xf>
    <xf numFmtId="164" fontId="5" fillId="4" borderId="9" xfId="1" applyNumberFormat="1" applyFont="1" applyFill="1" applyBorder="1" applyAlignment="1">
      <alignment horizontal="center" vertical="center"/>
    </xf>
    <xf numFmtId="0" fontId="133" fillId="11" borderId="0" xfId="0" applyFont="1" applyFill="1" applyAlignment="1">
      <alignment horizontal="center"/>
    </xf>
    <xf numFmtId="0" fontId="133" fillId="11" borderId="0" xfId="0" applyFont="1" applyFill="1" applyAlignment="1">
      <alignment horizontal="left"/>
    </xf>
    <xf numFmtId="0" fontId="133" fillId="11" borderId="8" xfId="0" applyFont="1" applyFill="1" applyBorder="1" applyAlignment="1">
      <alignment horizontal="left"/>
    </xf>
    <xf numFmtId="0" fontId="0" fillId="4" borderId="14" xfId="0" applyFill="1" applyBorder="1" applyAlignment="1">
      <alignment horizontal="right"/>
    </xf>
    <xf numFmtId="1" fontId="76" fillId="21" borderId="0" xfId="0" applyNumberFormat="1" applyFont="1" applyFill="1" applyBorder="1" applyAlignment="1">
      <alignment horizontal="center" vertical="center"/>
    </xf>
    <xf numFmtId="9" fontId="56" fillId="21" borderId="0" xfId="0" applyNumberFormat="1" applyFont="1" applyFill="1" applyAlignment="1">
      <alignment horizontal="center" vertical="center"/>
    </xf>
    <xf numFmtId="0" fontId="46" fillId="21" borderId="0" xfId="0" applyFont="1" applyFill="1"/>
    <xf numFmtId="0" fontId="116" fillId="0" borderId="0" xfId="0" applyFont="1"/>
    <xf numFmtId="164" fontId="56" fillId="4" borderId="22" xfId="1" applyNumberFormat="1" applyFont="1" applyFill="1" applyBorder="1" applyAlignment="1">
      <alignment horizontal="center" vertical="center"/>
    </xf>
    <xf numFmtId="3" fontId="0" fillId="0" borderId="0" xfId="0" applyNumberFormat="1"/>
    <xf numFmtId="1" fontId="65" fillId="4" borderId="0" xfId="0" applyNumberFormat="1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center" vertical="center"/>
    </xf>
    <xf numFmtId="164" fontId="65" fillId="4" borderId="26" xfId="1" applyNumberFormat="1" applyFont="1" applyFill="1" applyBorder="1" applyAlignment="1">
      <alignment horizontal="center" vertical="center"/>
    </xf>
    <xf numFmtId="165" fontId="65" fillId="8" borderId="0" xfId="0" applyNumberFormat="1" applyFont="1" applyFill="1" applyBorder="1" applyAlignment="1">
      <alignment horizontal="center" vertical="center"/>
    </xf>
    <xf numFmtId="166" fontId="65" fillId="8" borderId="0" xfId="0" applyNumberFormat="1" applyFont="1" applyFill="1" applyBorder="1" applyAlignment="1">
      <alignment horizontal="center" vertical="center"/>
    </xf>
    <xf numFmtId="164" fontId="65" fillId="8" borderId="26" xfId="1" applyNumberFormat="1" applyFont="1" applyFill="1" applyBorder="1" applyAlignment="1">
      <alignment horizontal="center" vertical="center"/>
    </xf>
    <xf numFmtId="1" fontId="0" fillId="0" borderId="0" xfId="0" applyNumberFormat="1"/>
    <xf numFmtId="1" fontId="25" fillId="3" borderId="2" xfId="0" applyNumberFormat="1" applyFont="1" applyFill="1" applyBorder="1" applyAlignment="1">
      <alignment horizontal="center" vertical="center"/>
    </xf>
    <xf numFmtId="165" fontId="25" fillId="3" borderId="2" xfId="0" applyNumberFormat="1" applyFont="1" applyFill="1" applyBorder="1" applyAlignment="1">
      <alignment horizontal="center" vertical="center"/>
    </xf>
    <xf numFmtId="1" fontId="60" fillId="0" borderId="0" xfId="0" applyNumberFormat="1" applyFont="1"/>
    <xf numFmtId="0" fontId="143" fillId="8" borderId="0" xfId="0" applyFont="1" applyFill="1" applyBorder="1" applyAlignment="1">
      <alignment horizontal="left" vertical="center" wrapText="1"/>
    </xf>
    <xf numFmtId="1" fontId="22" fillId="8" borderId="0" xfId="0" applyNumberFormat="1" applyFont="1" applyFill="1" applyBorder="1" applyAlignment="1">
      <alignment horizontal="center" vertical="center"/>
    </xf>
    <xf numFmtId="1" fontId="22" fillId="4" borderId="0" xfId="0" applyNumberFormat="1" applyFont="1" applyFill="1" applyBorder="1" applyAlignment="1">
      <alignment horizontal="center" vertical="center"/>
    </xf>
    <xf numFmtId="9" fontId="56" fillId="4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" fontId="2" fillId="3" borderId="0" xfId="0" quotePrefix="1" applyNumberFormat="1" applyFont="1" applyFill="1" applyAlignment="1">
      <alignment horizontal="center" readingOrder="2"/>
    </xf>
    <xf numFmtId="0" fontId="2" fillId="3" borderId="0" xfId="0" quotePrefix="1" applyFont="1" applyFill="1" applyAlignment="1">
      <alignment horizontal="center" readingOrder="2"/>
    </xf>
    <xf numFmtId="164" fontId="2" fillId="3" borderId="0" xfId="1" applyNumberFormat="1" applyFont="1" applyFill="1" applyAlignment="1">
      <alignment horizontal="center" vertical="center"/>
    </xf>
    <xf numFmtId="16" fontId="2" fillId="3" borderId="0" xfId="0" quotePrefix="1" applyNumberFormat="1" applyFont="1" applyFill="1" applyAlignment="1">
      <alignment horizontal="center"/>
    </xf>
    <xf numFmtId="0" fontId="142" fillId="29" borderId="92" xfId="0" applyFont="1" applyFill="1" applyBorder="1" applyAlignment="1">
      <alignment horizontal="center" vertical="center" wrapText="1"/>
    </xf>
    <xf numFmtId="0" fontId="48" fillId="29" borderId="72" xfId="0" applyFont="1" applyFill="1" applyBorder="1" applyAlignment="1">
      <alignment horizontal="center" vertical="center" wrapText="1" readingOrder="2"/>
    </xf>
    <xf numFmtId="0" fontId="48" fillId="29" borderId="93" xfId="0" applyFont="1" applyFill="1" applyBorder="1" applyAlignment="1">
      <alignment horizontal="center" vertical="center" wrapText="1"/>
    </xf>
    <xf numFmtId="0" fontId="48" fillId="29" borderId="71" xfId="0" applyFont="1" applyFill="1" applyBorder="1" applyAlignment="1">
      <alignment horizontal="center" vertical="center"/>
    </xf>
    <xf numFmtId="0" fontId="48" fillId="29" borderId="72" xfId="0" applyFont="1" applyFill="1" applyBorder="1" applyAlignment="1">
      <alignment horizontal="center" vertical="center"/>
    </xf>
    <xf numFmtId="0" fontId="48" fillId="29" borderId="72" xfId="0" applyFont="1" applyFill="1" applyBorder="1" applyAlignment="1">
      <alignment horizontal="center" vertical="center" wrapText="1"/>
    </xf>
    <xf numFmtId="0" fontId="48" fillId="29" borderId="73" xfId="0" applyFont="1" applyFill="1" applyBorder="1" applyAlignment="1">
      <alignment horizontal="center" vertical="center" wrapText="1"/>
    </xf>
    <xf numFmtId="0" fontId="48" fillId="29" borderId="74" xfId="0" applyFont="1" applyFill="1" applyBorder="1" applyAlignment="1">
      <alignment horizontal="center" vertical="center" wrapText="1"/>
    </xf>
    <xf numFmtId="3" fontId="48" fillId="27" borderId="67" xfId="0" applyNumberFormat="1" applyFont="1" applyFill="1" applyBorder="1" applyAlignment="1">
      <alignment horizontal="right" vertical="center" indent="1"/>
    </xf>
    <xf numFmtId="3" fontId="48" fillId="27" borderId="75" xfId="0" applyNumberFormat="1" applyFont="1" applyFill="1" applyBorder="1" applyAlignment="1">
      <alignment horizontal="right" vertical="center" indent="1"/>
    </xf>
    <xf numFmtId="3" fontId="48" fillId="27" borderId="70" xfId="0" applyNumberFormat="1" applyFont="1" applyFill="1" applyBorder="1" applyAlignment="1">
      <alignment horizontal="right" vertical="center" indent="1"/>
    </xf>
    <xf numFmtId="3" fontId="48" fillId="27" borderId="94" xfId="0" applyNumberFormat="1" applyFont="1" applyFill="1" applyBorder="1" applyAlignment="1">
      <alignment horizontal="right" vertical="center" indent="1"/>
    </xf>
    <xf numFmtId="3" fontId="48" fillId="28" borderId="45" xfId="0" applyNumberFormat="1" applyFont="1" applyFill="1" applyBorder="1" applyAlignment="1">
      <alignment horizontal="right" vertical="center" indent="1"/>
    </xf>
    <xf numFmtId="3" fontId="48" fillId="28" borderId="84" xfId="0" applyNumberFormat="1" applyFont="1" applyFill="1" applyBorder="1" applyAlignment="1">
      <alignment horizontal="right" vertical="center" indent="1"/>
    </xf>
    <xf numFmtId="3" fontId="48" fillId="28" borderId="59" xfId="0" applyNumberFormat="1" applyFont="1" applyFill="1" applyBorder="1" applyAlignment="1">
      <alignment horizontal="right" vertical="center" indent="1"/>
    </xf>
    <xf numFmtId="170" fontId="138" fillId="27" borderId="45" xfId="0" applyNumberFormat="1" applyFont="1" applyFill="1" applyBorder="1" applyAlignment="1">
      <alignment horizontal="right" vertical="center" indent="1"/>
    </xf>
    <xf numFmtId="170" fontId="138" fillId="27" borderId="84" xfId="0" applyNumberFormat="1" applyFont="1" applyFill="1" applyBorder="1" applyAlignment="1">
      <alignment horizontal="right" vertical="center" indent="1"/>
    </xf>
    <xf numFmtId="170" fontId="138" fillId="27" borderId="59" xfId="0" applyNumberFormat="1" applyFont="1" applyFill="1" applyBorder="1" applyAlignment="1">
      <alignment horizontal="right" vertical="center" indent="1"/>
    </xf>
    <xf numFmtId="3" fontId="112" fillId="27" borderId="45" xfId="0" applyNumberFormat="1" applyFont="1" applyFill="1" applyBorder="1" applyAlignment="1">
      <alignment horizontal="right" vertical="center" indent="1"/>
    </xf>
    <xf numFmtId="3" fontId="112" fillId="27" borderId="84" xfId="0" applyNumberFormat="1" applyFont="1" applyFill="1" applyBorder="1" applyAlignment="1">
      <alignment horizontal="right" vertical="center" indent="1"/>
    </xf>
    <xf numFmtId="3" fontId="112" fillId="27" borderId="59" xfId="0" applyNumberFormat="1" applyFont="1" applyFill="1" applyBorder="1" applyAlignment="1">
      <alignment horizontal="right" vertical="center" indent="1"/>
    </xf>
    <xf numFmtId="169" fontId="112" fillId="27" borderId="84" xfId="0" applyNumberFormat="1" applyFont="1" applyFill="1" applyBorder="1" applyAlignment="1">
      <alignment horizontal="right" vertical="center" indent="1"/>
    </xf>
    <xf numFmtId="3" fontId="112" fillId="27" borderId="85" xfId="0" applyNumberFormat="1" applyFont="1" applyFill="1" applyBorder="1" applyAlignment="1">
      <alignment horizontal="right" vertical="center" indent="1"/>
    </xf>
    <xf numFmtId="3" fontId="112" fillId="27" borderId="83" xfId="0" applyNumberFormat="1" applyFont="1" applyFill="1" applyBorder="1" applyAlignment="1">
      <alignment horizontal="right" vertical="center" indent="1"/>
    </xf>
    <xf numFmtId="0" fontId="112" fillId="27" borderId="67" xfId="0" applyFont="1" applyFill="1" applyBorder="1" applyAlignment="1">
      <alignment horizontal="right" vertical="center" indent="1"/>
    </xf>
    <xf numFmtId="0" fontId="112" fillId="27" borderId="75" xfId="0" applyFont="1" applyFill="1" applyBorder="1" applyAlignment="1">
      <alignment horizontal="right" vertical="center" indent="1"/>
    </xf>
    <xf numFmtId="3" fontId="112" fillId="27" borderId="70" xfId="0" applyNumberFormat="1" applyFont="1" applyFill="1" applyBorder="1" applyAlignment="1">
      <alignment horizontal="right" vertical="center" indent="1"/>
    </xf>
    <xf numFmtId="0" fontId="112" fillId="24" borderId="76" xfId="0" applyFont="1" applyFill="1" applyBorder="1" applyAlignment="1">
      <alignment horizontal="right" vertical="center" indent="1"/>
    </xf>
    <xf numFmtId="0" fontId="112" fillId="24" borderId="2" xfId="0" applyFont="1" applyFill="1" applyBorder="1" applyAlignment="1">
      <alignment horizontal="right" vertical="center" indent="1"/>
    </xf>
    <xf numFmtId="3" fontId="112" fillId="24" borderId="31" xfId="0" applyNumberFormat="1" applyFont="1" applyFill="1" applyBorder="1" applyAlignment="1">
      <alignment horizontal="right" vertical="center" indent="1"/>
    </xf>
    <xf numFmtId="0" fontId="112" fillId="24" borderId="27" xfId="0" applyFont="1" applyFill="1" applyBorder="1" applyAlignment="1">
      <alignment horizontal="right" vertical="center" indent="1"/>
    </xf>
    <xf numFmtId="3" fontId="112" fillId="24" borderId="87" xfId="0" applyNumberFormat="1" applyFont="1" applyFill="1" applyBorder="1" applyAlignment="1">
      <alignment horizontal="right" vertical="center" indent="1"/>
    </xf>
    <xf numFmtId="3" fontId="112" fillId="24" borderId="29" xfId="0" applyNumberFormat="1" applyFont="1" applyFill="1" applyBorder="1" applyAlignment="1">
      <alignment horizontal="right" vertical="center" indent="1"/>
    </xf>
    <xf numFmtId="3" fontId="112" fillId="0" borderId="87" xfId="0" applyNumberFormat="1" applyFont="1" applyFill="1" applyBorder="1" applyAlignment="1">
      <alignment horizontal="right" vertical="center" indent="1"/>
    </xf>
    <xf numFmtId="3" fontId="112" fillId="0" borderId="28" xfId="0" applyNumberFormat="1" applyFont="1" applyFill="1" applyBorder="1" applyAlignment="1">
      <alignment horizontal="right" vertical="center" indent="1"/>
    </xf>
    <xf numFmtId="3" fontId="112" fillId="0" borderId="88" xfId="0" applyNumberFormat="1" applyFont="1" applyFill="1" applyBorder="1" applyAlignment="1">
      <alignment horizontal="right" vertical="center" indent="1"/>
    </xf>
    <xf numFmtId="0" fontId="112" fillId="24" borderId="16" xfId="0" applyFont="1" applyFill="1" applyBorder="1" applyAlignment="1">
      <alignment horizontal="right" vertical="center" indent="1"/>
    </xf>
    <xf numFmtId="0" fontId="112" fillId="27" borderId="84" xfId="0" applyFont="1" applyFill="1" applyBorder="1" applyAlignment="1">
      <alignment horizontal="right" vertical="center" indent="1"/>
    </xf>
    <xf numFmtId="0" fontId="112" fillId="27" borderId="59" xfId="0" applyFont="1" applyFill="1" applyBorder="1" applyAlignment="1">
      <alignment horizontal="right" vertical="center" indent="1"/>
    </xf>
    <xf numFmtId="3" fontId="112" fillId="27" borderId="67" xfId="0" applyNumberFormat="1" applyFont="1" applyFill="1" applyBorder="1" applyAlignment="1">
      <alignment horizontal="right" vertical="center" indent="1"/>
    </xf>
    <xf numFmtId="0" fontId="112" fillId="27" borderId="70" xfId="0" applyFont="1" applyFill="1" applyBorder="1" applyAlignment="1">
      <alignment horizontal="right" vertical="center" indent="1"/>
    </xf>
    <xf numFmtId="3" fontId="112" fillId="24" borderId="76" xfId="0" applyNumberFormat="1" applyFont="1" applyFill="1" applyBorder="1" applyAlignment="1">
      <alignment horizontal="right" vertical="center" indent="1"/>
    </xf>
    <xf numFmtId="1" fontId="112" fillId="24" borderId="31" xfId="0" applyNumberFormat="1" applyFont="1" applyFill="1" applyBorder="1" applyAlignment="1">
      <alignment horizontal="right" vertical="center" indent="1"/>
    </xf>
    <xf numFmtId="3" fontId="112" fillId="24" borderId="92" xfId="0" applyNumberFormat="1" applyFont="1" applyFill="1" applyBorder="1" applyAlignment="1">
      <alignment horizontal="right" vertical="center" indent="1"/>
    </xf>
    <xf numFmtId="0" fontId="112" fillId="24" borderId="72" xfId="0" applyFont="1" applyFill="1" applyBorder="1" applyAlignment="1">
      <alignment horizontal="right" vertical="center" indent="1"/>
    </xf>
    <xf numFmtId="1" fontId="112" fillId="24" borderId="93" xfId="0" applyNumberFormat="1" applyFont="1" applyFill="1" applyBorder="1" applyAlignment="1">
      <alignment horizontal="right" vertical="center" indent="1"/>
    </xf>
    <xf numFmtId="4" fontId="112" fillId="27" borderId="45" xfId="0" applyNumberFormat="1" applyFont="1" applyFill="1" applyBorder="1" applyAlignment="1">
      <alignment horizontal="right" vertical="center" indent="1"/>
    </xf>
    <xf numFmtId="3" fontId="112" fillId="24" borderId="27" xfId="0" applyNumberFormat="1" applyFont="1" applyFill="1" applyBorder="1" applyAlignment="1">
      <alignment horizontal="right" vertical="center" indent="1"/>
    </xf>
    <xf numFmtId="0" fontId="112" fillId="24" borderId="87" xfId="0" applyFont="1" applyFill="1" applyBorder="1" applyAlignment="1">
      <alignment horizontal="right" vertical="center" indent="1"/>
    </xf>
    <xf numFmtId="1" fontId="112" fillId="24" borderId="29" xfId="0" applyNumberFormat="1" applyFont="1" applyFill="1" applyBorder="1" applyAlignment="1">
      <alignment horizontal="right" vertical="center" indent="1"/>
    </xf>
    <xf numFmtId="3" fontId="111" fillId="28" borderId="45" xfId="0" applyNumberFormat="1" applyFont="1" applyFill="1" applyBorder="1" applyAlignment="1">
      <alignment horizontal="right" vertical="center" indent="1"/>
    </xf>
    <xf numFmtId="3" fontId="111" fillId="28" borderId="84" xfId="0" applyNumberFormat="1" applyFont="1" applyFill="1" applyBorder="1" applyAlignment="1">
      <alignment horizontal="right" vertical="center" indent="1"/>
    </xf>
    <xf numFmtId="3" fontId="111" fillId="28" borderId="59" xfId="0" applyNumberFormat="1" applyFont="1" applyFill="1" applyBorder="1" applyAlignment="1">
      <alignment horizontal="right" vertical="center" indent="1"/>
    </xf>
    <xf numFmtId="3" fontId="111" fillId="28" borderId="85" xfId="0" applyNumberFormat="1" applyFont="1" applyFill="1" applyBorder="1" applyAlignment="1">
      <alignment horizontal="right" vertical="center" indent="1"/>
    </xf>
    <xf numFmtId="3" fontId="111" fillId="28" borderId="83" xfId="0" applyNumberFormat="1" applyFont="1" applyFill="1" applyBorder="1" applyAlignment="1">
      <alignment horizontal="right" vertical="center" indent="1"/>
    </xf>
    <xf numFmtId="0" fontId="31" fillId="7" borderId="0" xfId="0" applyFont="1" applyFill="1" applyBorder="1" applyAlignment="1">
      <alignment horizontal="center" vertical="center"/>
    </xf>
    <xf numFmtId="9" fontId="112" fillId="24" borderId="0" xfId="1" applyFont="1" applyFill="1" applyBorder="1"/>
    <xf numFmtId="169" fontId="116" fillId="24" borderId="76" xfId="0" applyNumberFormat="1" applyFont="1" applyFill="1" applyBorder="1" applyAlignment="1">
      <alignment horizontal="right" vertical="center" indent="1"/>
    </xf>
    <xf numFmtId="0" fontId="42" fillId="26" borderId="71" xfId="0" quotePrefix="1" applyFont="1" applyFill="1" applyBorder="1" applyAlignment="1">
      <alignment horizontal="center" vertical="center"/>
    </xf>
    <xf numFmtId="16" fontId="42" fillId="26" borderId="72" xfId="0" quotePrefix="1" applyNumberFormat="1" applyFont="1" applyFill="1" applyBorder="1" applyAlignment="1">
      <alignment horizontal="center" vertical="center"/>
    </xf>
    <xf numFmtId="0" fontId="42" fillId="26" borderId="72" xfId="0" applyFont="1" applyFill="1" applyBorder="1" applyAlignment="1">
      <alignment horizontal="center" vertical="center" wrapText="1"/>
    </xf>
    <xf numFmtId="0" fontId="42" fillId="26" borderId="73" xfId="0" applyFont="1" applyFill="1" applyBorder="1" applyAlignment="1">
      <alignment horizontal="center" vertical="center" wrapText="1"/>
    </xf>
    <xf numFmtId="0" fontId="42" fillId="26" borderId="74" xfId="0" applyFont="1" applyFill="1" applyBorder="1" applyAlignment="1">
      <alignment horizontal="center" vertical="center" wrapText="1"/>
    </xf>
    <xf numFmtId="169" fontId="116" fillId="24" borderId="27" xfId="0" applyNumberFormat="1" applyFont="1" applyFill="1" applyBorder="1" applyAlignment="1">
      <alignment horizontal="right" vertical="center" indent="1"/>
    </xf>
    <xf numFmtId="169" fontId="116" fillId="27" borderId="45" xfId="0" applyNumberFormat="1" applyFont="1" applyFill="1" applyBorder="1" applyAlignment="1">
      <alignment horizontal="right" vertical="center" indent="1"/>
    </xf>
    <xf numFmtId="169" fontId="116" fillId="27" borderId="84" xfId="0" applyNumberFormat="1" applyFont="1" applyFill="1" applyBorder="1" applyAlignment="1">
      <alignment horizontal="right" vertical="center" indent="1"/>
    </xf>
    <xf numFmtId="169" fontId="144" fillId="27" borderId="67" xfId="0" applyNumberFormat="1" applyFont="1" applyFill="1" applyBorder="1" applyAlignment="1">
      <alignment horizontal="right" vertical="center" indent="1"/>
    </xf>
    <xf numFmtId="169" fontId="144" fillId="27" borderId="75" xfId="0" applyNumberFormat="1" applyFont="1" applyFill="1" applyBorder="1" applyAlignment="1">
      <alignment horizontal="right" vertical="center" indent="1"/>
    </xf>
    <xf numFmtId="169" fontId="116" fillId="27" borderId="77" xfId="0" applyNumberFormat="1" applyFont="1" applyFill="1" applyBorder="1" applyAlignment="1">
      <alignment horizontal="right" vertical="center" indent="1"/>
    </xf>
    <xf numFmtId="169" fontId="116" fillId="27" borderId="75" xfId="0" applyNumberFormat="1" applyFont="1" applyFill="1" applyBorder="1" applyAlignment="1">
      <alignment horizontal="right" vertical="center" indent="1"/>
    </xf>
    <xf numFmtId="0" fontId="36" fillId="4" borderId="0" xfId="0" applyFont="1" applyFill="1" applyBorder="1" applyAlignment="1">
      <alignment vertical="center" wrapText="1"/>
    </xf>
    <xf numFmtId="0" fontId="36" fillId="4" borderId="0" xfId="0" applyFont="1" applyFill="1" applyAlignment="1">
      <alignment vertical="center"/>
    </xf>
    <xf numFmtId="0" fontId="146" fillId="3" borderId="0" xfId="0" quotePrefix="1" applyFont="1" applyFill="1" applyBorder="1" applyAlignment="1">
      <alignment horizontal="center" vertical="center"/>
    </xf>
    <xf numFmtId="17" fontId="146" fillId="3" borderId="0" xfId="0" quotePrefix="1" applyNumberFormat="1" applyFont="1" applyFill="1" applyBorder="1" applyAlignment="1">
      <alignment horizontal="center" vertical="center" wrapText="1"/>
    </xf>
    <xf numFmtId="0" fontId="145" fillId="11" borderId="0" xfId="0" applyFont="1" applyFill="1" applyAlignment="1">
      <alignment vertical="center"/>
    </xf>
    <xf numFmtId="0" fontId="0" fillId="0" borderId="0" xfId="0" applyFont="1"/>
    <xf numFmtId="0" fontId="41" fillId="3" borderId="9" xfId="0" quotePrefix="1" applyFont="1" applyFill="1" applyBorder="1" applyAlignment="1">
      <alignment horizontal="center" vertical="center"/>
    </xf>
    <xf numFmtId="0" fontId="149" fillId="4" borderId="2" xfId="0" applyFont="1" applyFill="1" applyBorder="1" applyAlignment="1">
      <alignment horizontal="center" vertical="center"/>
    </xf>
    <xf numFmtId="0" fontId="150" fillId="8" borderId="2" xfId="0" applyFont="1" applyFill="1" applyBorder="1" applyAlignment="1">
      <alignment horizontal="center" vertical="center"/>
    </xf>
    <xf numFmtId="0" fontId="150" fillId="4" borderId="2" xfId="0" applyFont="1" applyFill="1" applyBorder="1" applyAlignment="1">
      <alignment horizontal="center" vertical="center"/>
    </xf>
    <xf numFmtId="0" fontId="149" fillId="8" borderId="2" xfId="0" applyFont="1" applyFill="1" applyBorder="1" applyAlignment="1">
      <alignment horizontal="center" vertical="center"/>
    </xf>
    <xf numFmtId="0" fontId="149" fillId="8" borderId="2" xfId="0" quotePrefix="1" applyFont="1" applyFill="1" applyBorder="1" applyAlignment="1">
      <alignment horizontal="center" vertical="center"/>
    </xf>
    <xf numFmtId="1" fontId="25" fillId="6" borderId="14" xfId="0" applyNumberFormat="1" applyFont="1" applyFill="1" applyBorder="1" applyAlignment="1">
      <alignment horizontal="center" vertical="center" wrapText="1" readingOrder="2"/>
    </xf>
    <xf numFmtId="165" fontId="148" fillId="9" borderId="2" xfId="0" applyNumberFormat="1" applyFont="1" applyFill="1" applyBorder="1" applyAlignment="1">
      <alignment horizontal="center" vertical="center"/>
    </xf>
    <xf numFmtId="0" fontId="152" fillId="8" borderId="8" xfId="0" applyFont="1" applyFill="1" applyBorder="1" applyAlignment="1">
      <alignment horizontal="center" vertical="center" wrapText="1"/>
    </xf>
    <xf numFmtId="0" fontId="152" fillId="4" borderId="8" xfId="0" applyFont="1" applyFill="1" applyBorder="1" applyAlignment="1">
      <alignment horizontal="center" vertical="center" wrapText="1"/>
    </xf>
    <xf numFmtId="0" fontId="152" fillId="8" borderId="8" xfId="0" applyFont="1" applyFill="1" applyBorder="1" applyAlignment="1">
      <alignment horizontal="center" vertical="center"/>
    </xf>
    <xf numFmtId="0" fontId="152" fillId="4" borderId="8" xfId="0" applyFont="1" applyFill="1" applyBorder="1" applyAlignment="1">
      <alignment horizontal="center" vertical="center"/>
    </xf>
    <xf numFmtId="0" fontId="25" fillId="6" borderId="8" xfId="0" applyFont="1" applyFill="1" applyBorder="1" applyAlignment="1">
      <alignment horizontal="center" vertical="center"/>
    </xf>
    <xf numFmtId="164" fontId="25" fillId="3" borderId="2" xfId="1" applyNumberFormat="1" applyFont="1" applyFill="1" applyBorder="1" applyAlignment="1">
      <alignment horizontal="center" vertical="center"/>
    </xf>
    <xf numFmtId="0" fontId="25" fillId="6" borderId="9" xfId="0" applyFont="1" applyFill="1" applyBorder="1" applyAlignment="1">
      <alignment horizontal="center" vertical="center"/>
    </xf>
    <xf numFmtId="0" fontId="26" fillId="6" borderId="14" xfId="0" applyFont="1" applyFill="1" applyBorder="1" applyAlignment="1"/>
    <xf numFmtId="0" fontId="15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2" fillId="3" borderId="0" xfId="0" applyFont="1" applyFill="1" applyAlignment="1">
      <alignment vertical="center" wrapText="1"/>
    </xf>
    <xf numFmtId="164" fontId="122" fillId="0" borderId="63" xfId="0" applyNumberFormat="1" applyFont="1" applyBorder="1" applyAlignment="1">
      <alignment horizontal="center" vertical="center" wrapText="1" readingOrder="1"/>
    </xf>
    <xf numFmtId="0" fontId="0" fillId="4" borderId="0" xfId="0" applyFont="1" applyFill="1"/>
    <xf numFmtId="0" fontId="42" fillId="0" borderId="0" xfId="0" applyFont="1" applyBorder="1" applyAlignment="1">
      <alignment horizontal="center"/>
    </xf>
    <xf numFmtId="164" fontId="153" fillId="4" borderId="0" xfId="1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46" fillId="4" borderId="0" xfId="1" applyNumberFormat="1" applyFont="1" applyFill="1" applyAlignment="1">
      <alignment horizontal="center"/>
    </xf>
    <xf numFmtId="9" fontId="46" fillId="4" borderId="0" xfId="1" applyNumberFormat="1" applyFont="1" applyFill="1" applyAlignment="1">
      <alignment horizontal="center"/>
    </xf>
    <xf numFmtId="164" fontId="154" fillId="0" borderId="63" xfId="0" applyNumberFormat="1" applyFont="1" applyBorder="1" applyAlignment="1">
      <alignment horizontal="center" vertical="center" wrapText="1" readingOrder="2"/>
    </xf>
    <xf numFmtId="164" fontId="154" fillId="0" borderId="63" xfId="0" applyNumberFormat="1" applyFont="1" applyBorder="1" applyAlignment="1">
      <alignment horizontal="center" vertical="center" wrapText="1" readingOrder="1"/>
    </xf>
    <xf numFmtId="0" fontId="154" fillId="0" borderId="63" xfId="0" applyFont="1" applyBorder="1" applyAlignment="1">
      <alignment horizontal="center" vertical="center" wrapText="1" readingOrder="2"/>
    </xf>
    <xf numFmtId="0" fontId="155" fillId="0" borderId="63" xfId="0" applyFont="1" applyBorder="1" applyAlignment="1">
      <alignment horizontal="right" vertical="center" wrapText="1" readingOrder="2"/>
    </xf>
    <xf numFmtId="2" fontId="0" fillId="0" borderId="0" xfId="0" applyNumberFormat="1"/>
    <xf numFmtId="2" fontId="5" fillId="4" borderId="0" xfId="0" applyNumberFormat="1" applyFont="1" applyFill="1" applyAlignment="1">
      <alignment horizontal="center"/>
    </xf>
    <xf numFmtId="0" fontId="120" fillId="3" borderId="63" xfId="0" quotePrefix="1" applyFont="1" applyFill="1" applyBorder="1" applyAlignment="1">
      <alignment horizontal="center" vertical="center" wrapText="1" readingOrder="2"/>
    </xf>
    <xf numFmtId="0" fontId="147" fillId="3" borderId="0" xfId="0" applyFont="1" applyFill="1" applyAlignment="1">
      <alignment horizontal="center" vertical="center"/>
    </xf>
    <xf numFmtId="0" fontId="156" fillId="0" borderId="63" xfId="0" applyFont="1" applyBorder="1" applyAlignment="1">
      <alignment vertical="center" wrapText="1" readingOrder="2"/>
    </xf>
    <xf numFmtId="0" fontId="148" fillId="0" borderId="63" xfId="0" applyFont="1" applyBorder="1" applyAlignment="1">
      <alignment vertical="center" wrapText="1" readingOrder="2"/>
    </xf>
    <xf numFmtId="0" fontId="157" fillId="0" borderId="63" xfId="0" applyFont="1" applyBorder="1" applyAlignment="1">
      <alignment vertical="center" wrapText="1"/>
    </xf>
    <xf numFmtId="0" fontId="139" fillId="0" borderId="63" xfId="0" applyFont="1" applyBorder="1" applyAlignment="1">
      <alignment vertical="center" wrapText="1"/>
    </xf>
    <xf numFmtId="0" fontId="145" fillId="11" borderId="0" xfId="0" applyFont="1" applyFill="1" applyBorder="1" applyAlignment="1">
      <alignment horizontal="right" vertical="center"/>
    </xf>
    <xf numFmtId="0" fontId="57" fillId="2" borderId="2" xfId="0" applyFont="1" applyFill="1" applyBorder="1" applyAlignment="1">
      <alignment horizontal="center" vertical="center"/>
    </xf>
    <xf numFmtId="0" fontId="126" fillId="8" borderId="63" xfId="0" applyFont="1" applyFill="1" applyBorder="1" applyAlignment="1">
      <alignment vertical="center" wrapText="1"/>
    </xf>
    <xf numFmtId="9" fontId="122" fillId="8" borderId="63" xfId="0" applyNumberFormat="1" applyFont="1" applyFill="1" applyBorder="1" applyAlignment="1">
      <alignment horizontal="center" vertical="center" wrapText="1" readingOrder="2"/>
    </xf>
    <xf numFmtId="164" fontId="122" fillId="8" borderId="63" xfId="0" applyNumberFormat="1" applyFont="1" applyFill="1" applyBorder="1" applyAlignment="1">
      <alignment horizontal="center" vertical="center" wrapText="1" readingOrder="1"/>
    </xf>
    <xf numFmtId="165" fontId="125" fillId="8" borderId="63" xfId="0" applyNumberFormat="1" applyFont="1" applyFill="1" applyBorder="1" applyAlignment="1">
      <alignment horizontal="right" vertical="center" wrapText="1" readingOrder="2"/>
    </xf>
    <xf numFmtId="0" fontId="125" fillId="8" borderId="63" xfId="0" applyFont="1" applyFill="1" applyBorder="1" applyAlignment="1">
      <alignment horizontal="right" vertical="center" wrapText="1" readingOrder="2"/>
    </xf>
    <xf numFmtId="164" fontId="122" fillId="8" borderId="63" xfId="0" applyNumberFormat="1" applyFont="1" applyFill="1" applyBorder="1" applyAlignment="1">
      <alignment horizontal="center" vertical="center" wrapText="1" readingOrder="2"/>
    </xf>
    <xf numFmtId="0" fontId="31" fillId="7" borderId="0" xfId="0" applyFont="1" applyFill="1" applyBorder="1" applyAlignment="1"/>
    <xf numFmtId="0" fontId="158" fillId="11" borderId="0" xfId="0" applyFont="1" applyFill="1" applyBorder="1" applyAlignment="1">
      <alignment vertical="center"/>
    </xf>
    <xf numFmtId="171" fontId="159" fillId="11" borderId="0" xfId="2" applyNumberFormat="1" applyFont="1" applyFill="1" applyBorder="1" applyAlignment="1">
      <alignment horizontal="center" vertical="center"/>
    </xf>
    <xf numFmtId="165" fontId="160" fillId="11" borderId="0" xfId="0" applyNumberFormat="1" applyFont="1" applyFill="1" applyBorder="1" applyAlignment="1">
      <alignment horizontal="center" vertical="center"/>
    </xf>
    <xf numFmtId="0" fontId="158" fillId="4" borderId="0" xfId="0" applyFont="1" applyFill="1" applyBorder="1" applyAlignment="1">
      <alignment vertical="center"/>
    </xf>
    <xf numFmtId="0" fontId="36" fillId="11" borderId="0" xfId="0" applyFont="1" applyFill="1" applyAlignment="1">
      <alignment vertical="center"/>
    </xf>
    <xf numFmtId="0" fontId="146" fillId="3" borderId="0" xfId="0" applyFont="1" applyFill="1" applyAlignment="1">
      <alignment vertical="center"/>
    </xf>
    <xf numFmtId="171" fontId="36" fillId="4" borderId="0" xfId="2" applyNumberFormat="1" applyFont="1" applyFill="1" applyBorder="1" applyAlignment="1">
      <alignment vertical="center"/>
    </xf>
    <xf numFmtId="165" fontId="160" fillId="4" borderId="0" xfId="0" applyNumberFormat="1" applyFont="1" applyFill="1" applyBorder="1" applyAlignment="1">
      <alignment horizontal="center"/>
    </xf>
    <xf numFmtId="0" fontId="49" fillId="3" borderId="0" xfId="0" applyFont="1" applyFill="1" applyBorder="1" applyAlignment="1">
      <alignment horizontal="center"/>
    </xf>
    <xf numFmtId="172" fontId="36" fillId="4" borderId="0" xfId="2" applyNumberFormat="1" applyFont="1" applyFill="1" applyBorder="1" applyAlignment="1">
      <alignment horizontal="center" vertical="center"/>
    </xf>
    <xf numFmtId="0" fontId="161" fillId="7" borderId="0" xfId="0" applyFont="1" applyFill="1" applyBorder="1" applyAlignment="1"/>
    <xf numFmtId="0" fontId="161" fillId="7" borderId="0" xfId="0" applyFont="1" applyFill="1" applyBorder="1" applyAlignment="1">
      <alignment horizontal="center" vertical="center"/>
    </xf>
    <xf numFmtId="168" fontId="133" fillId="10" borderId="0" xfId="0" applyNumberFormat="1" applyFont="1" applyFill="1" applyAlignment="1">
      <alignment horizontal="center" readingOrder="2"/>
    </xf>
    <xf numFmtId="1" fontId="3" fillId="2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 readingOrder="2"/>
    </xf>
    <xf numFmtId="3" fontId="70" fillId="0" borderId="14" xfId="0" applyNumberFormat="1" applyFont="1" applyFill="1" applyBorder="1" applyAlignment="1">
      <alignment horizontal="center" vertical="center"/>
    </xf>
    <xf numFmtId="3" fontId="70" fillId="0" borderId="2" xfId="0" applyNumberFormat="1" applyFont="1" applyFill="1" applyBorder="1" applyAlignment="1">
      <alignment horizontal="center" vertical="center"/>
    </xf>
    <xf numFmtId="1" fontId="162" fillId="11" borderId="2" xfId="0" applyNumberFormat="1" applyFont="1" applyFill="1" applyBorder="1" applyAlignment="1">
      <alignment horizontal="center"/>
    </xf>
    <xf numFmtId="164" fontId="162" fillId="11" borderId="9" xfId="1" applyNumberFormat="1" applyFont="1" applyFill="1" applyBorder="1" applyAlignment="1">
      <alignment horizontal="center"/>
    </xf>
    <xf numFmtId="164" fontId="162" fillId="2" borderId="0" xfId="1" applyNumberFormat="1" applyFont="1" applyFill="1" applyAlignment="1">
      <alignment horizontal="center"/>
    </xf>
    <xf numFmtId="0" fontId="164" fillId="4" borderId="8" xfId="0" applyFont="1" applyFill="1" applyBorder="1"/>
    <xf numFmtId="164" fontId="164" fillId="4" borderId="9" xfId="1" applyNumberFormat="1" applyFont="1" applyFill="1" applyBorder="1" applyAlignment="1">
      <alignment horizontal="center" vertical="center"/>
    </xf>
    <xf numFmtId="164" fontId="164" fillId="4" borderId="0" xfId="0" applyNumberFormat="1" applyFont="1" applyFill="1"/>
    <xf numFmtId="164" fontId="164" fillId="4" borderId="0" xfId="1" applyNumberFormat="1" applyFont="1" applyFill="1" applyAlignment="1">
      <alignment horizontal="center"/>
    </xf>
    <xf numFmtId="1" fontId="164" fillId="4" borderId="0" xfId="0" applyNumberFormat="1" applyFont="1" applyFill="1" applyAlignment="1">
      <alignment horizontal="center"/>
    </xf>
    <xf numFmtId="0" fontId="164" fillId="4" borderId="0" xfId="0" applyFont="1" applyFill="1"/>
    <xf numFmtId="3" fontId="164" fillId="0" borderId="2" xfId="0" applyNumberFormat="1" applyFont="1" applyFill="1" applyBorder="1" applyAlignment="1">
      <alignment horizontal="center" vertical="center"/>
    </xf>
    <xf numFmtId="164" fontId="164" fillId="4" borderId="9" xfId="1" applyNumberFormat="1" applyFont="1" applyFill="1" applyBorder="1" applyAlignment="1">
      <alignment horizontal="center"/>
    </xf>
    <xf numFmtId="0" fontId="116" fillId="4" borderId="0" xfId="0" applyFont="1" applyFill="1"/>
    <xf numFmtId="2" fontId="164" fillId="4" borderId="0" xfId="0" applyNumberFormat="1" applyFont="1" applyFill="1" applyAlignment="1">
      <alignment horizontal="center"/>
    </xf>
    <xf numFmtId="4" fontId="164" fillId="0" borderId="28" xfId="0" applyNumberFormat="1" applyFont="1" applyFill="1" applyBorder="1" applyAlignment="1">
      <alignment horizontal="center" vertical="center"/>
    </xf>
    <xf numFmtId="4" fontId="164" fillId="0" borderId="87" xfId="0" applyNumberFormat="1" applyFont="1" applyFill="1" applyBorder="1" applyAlignment="1">
      <alignment horizontal="center" vertical="center"/>
    </xf>
    <xf numFmtId="3" fontId="164" fillId="0" borderId="14" xfId="0" applyNumberFormat="1" applyFont="1" applyFill="1" applyBorder="1" applyAlignment="1">
      <alignment horizontal="center" vertical="center"/>
    </xf>
    <xf numFmtId="0" fontId="162" fillId="11" borderId="2" xfId="0" applyFont="1" applyFill="1" applyBorder="1" applyAlignment="1">
      <alignment horizontal="left"/>
    </xf>
    <xf numFmtId="0" fontId="165" fillId="16" borderId="0" xfId="0" applyFont="1" applyFill="1" applyBorder="1" applyAlignment="1">
      <alignment horizontal="left" vertical="center"/>
    </xf>
    <xf numFmtId="1" fontId="141" fillId="16" borderId="0" xfId="0" applyNumberFormat="1" applyFont="1" applyFill="1" applyBorder="1" applyAlignment="1">
      <alignment horizontal="center" vertical="center"/>
    </xf>
    <xf numFmtId="164" fontId="141" fillId="16" borderId="0" xfId="1" applyNumberFormat="1" applyFont="1" applyFill="1" applyBorder="1" applyAlignment="1">
      <alignment horizontal="center" vertical="center"/>
    </xf>
    <xf numFmtId="0" fontId="14" fillId="3" borderId="29" xfId="0" applyFont="1" applyFill="1" applyBorder="1" applyAlignment="1">
      <alignment horizontal="center"/>
    </xf>
    <xf numFmtId="0" fontId="166" fillId="0" borderId="0" xfId="0" applyFont="1" applyAlignment="1">
      <alignment horizontal="left" indent="4"/>
    </xf>
    <xf numFmtId="0" fontId="0" fillId="0" borderId="0" xfId="0" applyAlignment="1">
      <alignment wrapText="1"/>
    </xf>
    <xf numFmtId="0" fontId="167" fillId="24" borderId="0" xfId="0" applyFont="1" applyFill="1" applyBorder="1" applyAlignment="1">
      <alignment vertical="center"/>
    </xf>
    <xf numFmtId="3" fontId="138" fillId="0" borderId="76" xfId="0" applyNumberFormat="1" applyFont="1" applyFill="1" applyBorder="1" applyAlignment="1">
      <alignment horizontal="right" vertical="center" indent="1"/>
    </xf>
    <xf numFmtId="3" fontId="138" fillId="0" borderId="2" xfId="0" applyNumberFormat="1" applyFont="1" applyFill="1" applyBorder="1" applyAlignment="1">
      <alignment horizontal="right" vertical="center" indent="1"/>
    </xf>
    <xf numFmtId="3" fontId="138" fillId="0" borderId="31" xfId="0" applyNumberFormat="1" applyFont="1" applyFill="1" applyBorder="1" applyAlignment="1">
      <alignment horizontal="right" vertical="center" indent="1"/>
    </xf>
    <xf numFmtId="169" fontId="138" fillId="0" borderId="76" xfId="0" applyNumberFormat="1" applyFont="1" applyFill="1" applyBorder="1" applyAlignment="1">
      <alignment horizontal="right" vertical="center" indent="1"/>
    </xf>
    <xf numFmtId="169" fontId="138" fillId="0" borderId="2" xfId="0" applyNumberFormat="1" applyFont="1" applyFill="1" applyBorder="1" applyAlignment="1">
      <alignment horizontal="right" vertical="center" indent="1"/>
    </xf>
    <xf numFmtId="3" fontId="138" fillId="0" borderId="27" xfId="0" applyNumberFormat="1" applyFont="1" applyFill="1" applyBorder="1" applyAlignment="1">
      <alignment horizontal="right" vertical="center" indent="1"/>
    </xf>
    <xf numFmtId="3" fontId="138" fillId="0" borderId="87" xfId="0" applyNumberFormat="1" applyFont="1" applyFill="1" applyBorder="1" applyAlignment="1">
      <alignment horizontal="right" vertical="center" indent="1"/>
    </xf>
    <xf numFmtId="3" fontId="138" fillId="0" borderId="26" xfId="0" applyNumberFormat="1" applyFont="1" applyFill="1" applyBorder="1" applyAlignment="1">
      <alignment horizontal="right" vertical="center" indent="1"/>
    </xf>
    <xf numFmtId="169" fontId="138" fillId="0" borderId="77" xfId="0" applyNumberFormat="1" applyFont="1" applyFill="1" applyBorder="1" applyAlignment="1">
      <alignment horizontal="right" vertical="center" indent="1"/>
    </xf>
    <xf numFmtId="169" fontId="138" fillId="0" borderId="58" xfId="0" applyNumberFormat="1" applyFont="1" applyFill="1" applyBorder="1" applyAlignment="1">
      <alignment horizontal="right" vertical="center" indent="1"/>
    </xf>
    <xf numFmtId="169" fontId="144" fillId="27" borderId="79" xfId="0" applyNumberFormat="1" applyFont="1" applyFill="1" applyBorder="1" applyAlignment="1">
      <alignment horizontal="right" vertical="center" indent="1"/>
    </xf>
    <xf numFmtId="169" fontId="144" fillId="27" borderId="80" xfId="0" applyNumberFormat="1" applyFont="1" applyFill="1" applyBorder="1" applyAlignment="1">
      <alignment horizontal="right" vertical="center" indent="1"/>
    </xf>
    <xf numFmtId="3" fontId="138" fillId="0" borderId="29" xfId="0" applyNumberFormat="1" applyFont="1" applyFill="1" applyBorder="1" applyAlignment="1">
      <alignment horizontal="right" vertical="center" indent="1"/>
    </xf>
    <xf numFmtId="169" fontId="138" fillId="0" borderId="25" xfId="0" applyNumberFormat="1" applyFont="1" applyFill="1" applyBorder="1" applyAlignment="1">
      <alignment horizontal="right" vertical="center" indent="1"/>
    </xf>
    <xf numFmtId="169" fontId="138" fillId="0" borderId="30" xfId="0" applyNumberFormat="1" applyFont="1" applyFill="1" applyBorder="1" applyAlignment="1">
      <alignment horizontal="right" vertical="center" indent="1"/>
    </xf>
    <xf numFmtId="169" fontId="144" fillId="28" borderId="67" xfId="0" applyNumberFormat="1" applyFont="1" applyFill="1" applyBorder="1" applyAlignment="1">
      <alignment horizontal="right" vertical="center" indent="1"/>
    </xf>
    <xf numFmtId="169" fontId="144" fillId="28" borderId="75" xfId="0" applyNumberFormat="1" applyFont="1" applyFill="1" applyBorder="1" applyAlignment="1">
      <alignment horizontal="right" vertical="center" indent="1"/>
    </xf>
    <xf numFmtId="169" fontId="116" fillId="24" borderId="2" xfId="0" applyNumberFormat="1" applyFont="1" applyFill="1" applyBorder="1" applyAlignment="1">
      <alignment horizontal="right" vertical="center" indent="1"/>
    </xf>
    <xf numFmtId="169" fontId="116" fillId="24" borderId="87" xfId="0" applyNumberFormat="1" applyFont="1" applyFill="1" applyBorder="1" applyAlignment="1">
      <alignment horizontal="right" vertical="center" indent="1"/>
    </xf>
    <xf numFmtId="3" fontId="112" fillId="24" borderId="2" xfId="0" applyNumberFormat="1" applyFont="1" applyFill="1" applyBorder="1" applyAlignment="1">
      <alignment horizontal="right" vertical="center" indent="1"/>
    </xf>
    <xf numFmtId="3" fontId="112" fillId="24" borderId="14" xfId="0" applyNumberFormat="1" applyFont="1" applyFill="1" applyBorder="1" applyAlignment="1">
      <alignment horizontal="right" vertical="center" indent="1"/>
    </xf>
    <xf numFmtId="3" fontId="112" fillId="24" borderId="7" xfId="0" applyNumberFormat="1" applyFont="1" applyFill="1" applyBorder="1" applyAlignment="1">
      <alignment horizontal="right" vertical="center" indent="1"/>
    </xf>
    <xf numFmtId="3" fontId="112" fillId="24" borderId="72" xfId="0" applyNumberFormat="1" applyFont="1" applyFill="1" applyBorder="1" applyAlignment="1">
      <alignment horizontal="right" vertical="center" indent="1"/>
    </xf>
    <xf numFmtId="3" fontId="112" fillId="24" borderId="89" xfId="0" applyNumberFormat="1" applyFont="1" applyFill="1" applyBorder="1" applyAlignment="1">
      <alignment horizontal="right" vertical="center" indent="1"/>
    </xf>
    <xf numFmtId="3" fontId="112" fillId="24" borderId="74" xfId="0" applyNumberFormat="1" applyFont="1" applyFill="1" applyBorder="1" applyAlignment="1">
      <alignment horizontal="right" vertical="center" indent="1"/>
    </xf>
    <xf numFmtId="4" fontId="112" fillId="24" borderId="2" xfId="0" applyNumberFormat="1" applyFont="1" applyFill="1" applyBorder="1" applyAlignment="1">
      <alignment horizontal="right" vertical="center" indent="1"/>
    </xf>
    <xf numFmtId="4" fontId="112" fillId="24" borderId="14" xfId="0" applyNumberFormat="1" applyFont="1" applyFill="1" applyBorder="1" applyAlignment="1">
      <alignment horizontal="right" vertical="center" indent="1"/>
    </xf>
    <xf numFmtId="4" fontId="112" fillId="24" borderId="7" xfId="0" applyNumberFormat="1" applyFont="1" applyFill="1" applyBorder="1" applyAlignment="1">
      <alignment horizontal="right" vertical="center" indent="1"/>
    </xf>
    <xf numFmtId="4" fontId="112" fillId="24" borderId="87" xfId="0" applyNumberFormat="1" applyFont="1" applyFill="1" applyBorder="1" applyAlignment="1">
      <alignment horizontal="right" vertical="center" indent="1"/>
    </xf>
    <xf numFmtId="4" fontId="112" fillId="24" borderId="28" xfId="0" applyNumberFormat="1" applyFont="1" applyFill="1" applyBorder="1" applyAlignment="1">
      <alignment horizontal="right" vertical="center" indent="1"/>
    </xf>
    <xf numFmtId="4" fontId="112" fillId="24" borderId="88" xfId="0" applyNumberFormat="1" applyFont="1" applyFill="1" applyBorder="1" applyAlignment="1">
      <alignment horizontal="right" vertical="center" indent="1"/>
    </xf>
    <xf numFmtId="3" fontId="112" fillId="24" borderId="79" xfId="0" applyNumberFormat="1" applyFont="1" applyFill="1" applyBorder="1" applyAlignment="1">
      <alignment horizontal="right" vertical="center" indent="1"/>
    </xf>
    <xf numFmtId="3" fontId="112" fillId="24" borderId="80" xfId="0" applyNumberFormat="1" applyFont="1" applyFill="1" applyBorder="1" applyAlignment="1">
      <alignment horizontal="right" vertical="center" indent="1"/>
    </xf>
    <xf numFmtId="3" fontId="112" fillId="24" borderId="95" xfId="0" applyNumberFormat="1" applyFont="1" applyFill="1" applyBorder="1" applyAlignment="1">
      <alignment horizontal="right" vertical="center" indent="1"/>
    </xf>
    <xf numFmtId="169" fontId="116" fillId="24" borderId="67" xfId="0" applyNumberFormat="1" applyFont="1" applyFill="1" applyBorder="1" applyAlignment="1">
      <alignment horizontal="right" vertical="center" indent="1"/>
    </xf>
    <xf numFmtId="169" fontId="112" fillId="24" borderId="75" xfId="0" applyNumberFormat="1" applyFont="1" applyFill="1" applyBorder="1" applyAlignment="1">
      <alignment horizontal="right" vertical="center" indent="1"/>
    </xf>
    <xf numFmtId="3" fontId="112" fillId="24" borderId="96" xfId="0" applyNumberFormat="1" applyFont="1" applyFill="1" applyBorder="1" applyAlignment="1">
      <alignment horizontal="right" vertical="center" indent="1"/>
    </xf>
    <xf numFmtId="3" fontId="112" fillId="24" borderId="94" xfId="0" applyNumberFormat="1" applyFont="1" applyFill="1" applyBorder="1" applyAlignment="1">
      <alignment horizontal="right" vertical="center" indent="1"/>
    </xf>
    <xf numFmtId="169" fontId="116" fillId="24" borderId="77" xfId="0" applyNumberFormat="1" applyFont="1" applyFill="1" applyBorder="1" applyAlignment="1">
      <alignment horizontal="right" vertical="center" indent="1"/>
    </xf>
    <xf numFmtId="169" fontId="116" fillId="24" borderId="58" xfId="0" applyNumberFormat="1" applyFont="1" applyFill="1" applyBorder="1" applyAlignment="1">
      <alignment horizontal="right" vertical="center" indent="1"/>
    </xf>
    <xf numFmtId="3" fontId="112" fillId="24" borderId="98" xfId="0" applyNumberFormat="1" applyFont="1" applyFill="1" applyBorder="1" applyAlignment="1">
      <alignment horizontal="right" vertical="center" indent="1"/>
    </xf>
    <xf numFmtId="3" fontId="112" fillId="24" borderId="28" xfId="0" applyNumberFormat="1" applyFont="1" applyFill="1" applyBorder="1" applyAlignment="1">
      <alignment horizontal="right" vertical="center" indent="1"/>
    </xf>
    <xf numFmtId="3" fontId="112" fillId="24" borderId="88" xfId="0" applyNumberFormat="1" applyFont="1" applyFill="1" applyBorder="1" applyAlignment="1">
      <alignment horizontal="right" vertical="center" indent="1"/>
    </xf>
    <xf numFmtId="169" fontId="168" fillId="28" borderId="45" xfId="0" applyNumberFormat="1" applyFont="1" applyFill="1" applyBorder="1" applyAlignment="1">
      <alignment horizontal="right" vertical="center" indent="1"/>
    </xf>
    <xf numFmtId="169" fontId="168" fillId="28" borderId="84" xfId="0" applyNumberFormat="1" applyFont="1" applyFill="1" applyBorder="1" applyAlignment="1">
      <alignment horizontal="right" vertical="center" indent="1"/>
    </xf>
    <xf numFmtId="3" fontId="112" fillId="27" borderId="75" xfId="0" applyNumberFormat="1" applyFont="1" applyFill="1" applyBorder="1" applyAlignment="1">
      <alignment horizontal="center"/>
    </xf>
    <xf numFmtId="3" fontId="112" fillId="27" borderId="69" xfId="0" applyNumberFormat="1" applyFont="1" applyFill="1" applyBorder="1" applyAlignment="1">
      <alignment horizontal="center"/>
    </xf>
    <xf numFmtId="3" fontId="112" fillId="27" borderId="86" xfId="0" applyNumberFormat="1" applyFont="1" applyFill="1" applyBorder="1" applyAlignment="1">
      <alignment horizontal="center"/>
    </xf>
    <xf numFmtId="3" fontId="112" fillId="24" borderId="2" xfId="0" applyNumberFormat="1" applyFont="1" applyFill="1" applyBorder="1" applyAlignment="1">
      <alignment horizontal="center"/>
    </xf>
    <xf numFmtId="3" fontId="112" fillId="24" borderId="14" xfId="0" applyNumberFormat="1" applyFont="1" applyFill="1" applyBorder="1" applyAlignment="1">
      <alignment horizontal="center"/>
    </xf>
    <xf numFmtId="3" fontId="112" fillId="24" borderId="7" xfId="0" applyNumberFormat="1" applyFont="1" applyFill="1" applyBorder="1" applyAlignment="1">
      <alignment horizontal="center"/>
    </xf>
    <xf numFmtId="169" fontId="112" fillId="24" borderId="2" xfId="0" applyNumberFormat="1" applyFont="1" applyFill="1" applyBorder="1" applyAlignment="1">
      <alignment horizontal="center"/>
    </xf>
    <xf numFmtId="3" fontId="112" fillId="24" borderId="72" xfId="0" applyNumberFormat="1" applyFont="1" applyFill="1" applyBorder="1" applyAlignment="1">
      <alignment horizontal="center"/>
    </xf>
    <xf numFmtId="3" fontId="112" fillId="24" borderId="89" xfId="0" applyNumberFormat="1" applyFont="1" applyFill="1" applyBorder="1" applyAlignment="1">
      <alignment horizontal="center"/>
    </xf>
    <xf numFmtId="3" fontId="112" fillId="24" borderId="74" xfId="0" applyNumberFormat="1" applyFont="1" applyFill="1" applyBorder="1" applyAlignment="1">
      <alignment horizontal="center"/>
    </xf>
    <xf numFmtId="3" fontId="112" fillId="27" borderId="84" xfId="0" applyNumberFormat="1" applyFont="1" applyFill="1" applyBorder="1" applyAlignment="1">
      <alignment horizontal="center"/>
    </xf>
    <xf numFmtId="3" fontId="112" fillId="27" borderId="85" xfId="0" applyNumberFormat="1" applyFont="1" applyFill="1" applyBorder="1" applyAlignment="1">
      <alignment horizontal="center"/>
    </xf>
    <xf numFmtId="3" fontId="112" fillId="27" borderId="83" xfId="0" applyNumberFormat="1" applyFont="1" applyFill="1" applyBorder="1" applyAlignment="1">
      <alignment horizontal="center"/>
    </xf>
    <xf numFmtId="4" fontId="112" fillId="24" borderId="2" xfId="0" applyNumberFormat="1" applyFont="1" applyFill="1" applyBorder="1" applyAlignment="1">
      <alignment horizontal="center"/>
    </xf>
    <xf numFmtId="4" fontId="112" fillId="24" borderId="14" xfId="0" applyNumberFormat="1" applyFont="1" applyFill="1" applyBorder="1" applyAlignment="1">
      <alignment horizontal="center"/>
    </xf>
    <xf numFmtId="4" fontId="112" fillId="24" borderId="7" xfId="0" applyNumberFormat="1" applyFont="1" applyFill="1" applyBorder="1" applyAlignment="1">
      <alignment horizontal="center"/>
    </xf>
    <xf numFmtId="4" fontId="112" fillId="24" borderId="87" xfId="0" applyNumberFormat="1" applyFont="1" applyFill="1" applyBorder="1" applyAlignment="1">
      <alignment horizontal="center"/>
    </xf>
    <xf numFmtId="4" fontId="112" fillId="24" borderId="28" xfId="0" applyNumberFormat="1" applyFont="1" applyFill="1" applyBorder="1" applyAlignment="1">
      <alignment horizontal="center"/>
    </xf>
    <xf numFmtId="4" fontId="112" fillId="24" borderId="88" xfId="0" applyNumberFormat="1" applyFont="1" applyFill="1" applyBorder="1" applyAlignment="1">
      <alignment horizontal="center"/>
    </xf>
    <xf numFmtId="1" fontId="162" fillId="2" borderId="0" xfId="0" applyNumberFormat="1" applyFont="1" applyFill="1" applyAlignment="1">
      <alignment horizontal="center" readingOrder="2"/>
    </xf>
    <xf numFmtId="0" fontId="133" fillId="11" borderId="0" xfId="0" applyFont="1" applyFill="1" applyAlignment="1">
      <alignment horizontal="left"/>
    </xf>
    <xf numFmtId="0" fontId="15" fillId="3" borderId="0" xfId="0" applyFont="1" applyFill="1" applyAlignment="1">
      <alignment horizontal="center" vertical="center"/>
    </xf>
    <xf numFmtId="165" fontId="15" fillId="31" borderId="0" xfId="0" applyNumberFormat="1" applyFont="1" applyFill="1" applyBorder="1" applyAlignment="1" applyProtection="1">
      <alignment horizontal="center" vertical="center"/>
    </xf>
    <xf numFmtId="0" fontId="156" fillId="0" borderId="63" xfId="0" applyFont="1" applyBorder="1" applyAlignment="1">
      <alignment horizontal="right" vertical="center" wrapText="1" readingOrder="2"/>
    </xf>
    <xf numFmtId="165" fontId="133" fillId="11" borderId="0" xfId="0" applyNumberFormat="1" applyFont="1" applyFill="1" applyAlignment="1">
      <alignment horizontal="center"/>
    </xf>
    <xf numFmtId="164" fontId="133" fillId="11" borderId="0" xfId="1" applyNumberFormat="1" applyFont="1" applyFill="1" applyAlignment="1">
      <alignment horizontal="center"/>
    </xf>
    <xf numFmtId="164" fontId="65" fillId="4" borderId="0" xfId="1" applyNumberFormat="1" applyFont="1" applyFill="1" applyAlignment="1">
      <alignment horizontal="center"/>
    </xf>
    <xf numFmtId="0" fontId="70" fillId="4" borderId="0" xfId="0" applyFont="1" applyFill="1" applyAlignment="1">
      <alignment horizontal="left"/>
    </xf>
    <xf numFmtId="164" fontId="70" fillId="4" borderId="0" xfId="1" applyNumberFormat="1" applyFont="1" applyFill="1" applyAlignment="1">
      <alignment horizontal="center"/>
    </xf>
    <xf numFmtId="173" fontId="12" fillId="4" borderId="0" xfId="0" applyNumberFormat="1" applyFont="1" applyFill="1" applyBorder="1" applyAlignment="1" applyProtection="1">
      <alignment horizontal="center" vertical="center"/>
    </xf>
    <xf numFmtId="165" fontId="12" fillId="4" borderId="0" xfId="0" applyNumberFormat="1" applyFont="1" applyFill="1" applyBorder="1" applyAlignment="1" applyProtection="1">
      <alignment horizontal="center" vertical="center"/>
    </xf>
    <xf numFmtId="173" fontId="170" fillId="4" borderId="0" xfId="0" applyNumberFormat="1" applyFont="1" applyFill="1" applyBorder="1" applyAlignment="1" applyProtection="1">
      <alignment horizontal="center" vertical="center"/>
    </xf>
    <xf numFmtId="165" fontId="170" fillId="4" borderId="0" xfId="0" applyNumberFormat="1" applyFont="1" applyFill="1" applyBorder="1" applyAlignment="1" applyProtection="1">
      <alignment horizontal="center" vertical="center"/>
    </xf>
    <xf numFmtId="165" fontId="122" fillId="0" borderId="63" xfId="0" applyNumberFormat="1" applyFont="1" applyBorder="1" applyAlignment="1">
      <alignment horizontal="center" vertical="center" wrapText="1" readingOrder="2"/>
    </xf>
    <xf numFmtId="1" fontId="5" fillId="4" borderId="0" xfId="0" applyNumberFormat="1" applyFont="1" applyFill="1" applyAlignment="1">
      <alignment horizontal="center" vertical="center"/>
    </xf>
    <xf numFmtId="1" fontId="130" fillId="4" borderId="0" xfId="0" applyNumberFormat="1" applyFont="1" applyFill="1" applyAlignment="1">
      <alignment horizontal="center" vertical="center"/>
    </xf>
    <xf numFmtId="1" fontId="70" fillId="4" borderId="0" xfId="0" applyNumberFormat="1" applyFont="1" applyFill="1" applyAlignment="1">
      <alignment horizontal="center"/>
    </xf>
    <xf numFmtId="0" fontId="8" fillId="3" borderId="0" xfId="0" applyFont="1" applyFill="1"/>
    <xf numFmtId="16" fontId="3" fillId="3" borderId="0" xfId="0" quotePrefix="1" applyNumberFormat="1" applyFont="1" applyFill="1" applyAlignment="1">
      <alignment horizontal="center" readingOrder="2"/>
    </xf>
    <xf numFmtId="0" fontId="3" fillId="3" borderId="0" xfId="0" quotePrefix="1" applyFont="1" applyFill="1" applyAlignment="1">
      <alignment horizontal="center" readingOrder="2"/>
    </xf>
    <xf numFmtId="0" fontId="8" fillId="4" borderId="0" xfId="0" applyFont="1" applyFill="1"/>
    <xf numFmtId="0" fontId="133" fillId="11" borderId="0" xfId="0" applyFont="1" applyFill="1" applyAlignment="1">
      <alignment horizontal="right"/>
    </xf>
    <xf numFmtId="0" fontId="46" fillId="4" borderId="0" xfId="0" applyFont="1" applyFill="1"/>
    <xf numFmtId="164" fontId="3" fillId="3" borderId="0" xfId="0" applyNumberFormat="1" applyFont="1" applyFill="1" applyAlignment="1">
      <alignment horizontal="center" vertical="center"/>
    </xf>
    <xf numFmtId="0" fontId="67" fillId="3" borderId="0" xfId="0" applyFont="1" applyFill="1"/>
    <xf numFmtId="165" fontId="154" fillId="0" borderId="63" xfId="0" applyNumberFormat="1" applyFont="1" applyBorder="1" applyAlignment="1">
      <alignment horizontal="center" vertical="center" wrapText="1" readingOrder="2"/>
    </xf>
    <xf numFmtId="0" fontId="16" fillId="7" borderId="103" xfId="0" applyFont="1" applyFill="1" applyBorder="1" applyAlignment="1"/>
    <xf numFmtId="1" fontId="18" fillId="8" borderId="2" xfId="0" applyNumberFormat="1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left" vertical="center"/>
    </xf>
    <xf numFmtId="0" fontId="23" fillId="4" borderId="104" xfId="0" applyFont="1" applyFill="1" applyBorder="1" applyAlignment="1">
      <alignment horizontal="right"/>
    </xf>
    <xf numFmtId="0" fontId="9" fillId="4" borderId="104" xfId="0" applyFont="1" applyFill="1" applyBorder="1"/>
    <xf numFmtId="0" fontId="14" fillId="7" borderId="105" xfId="0" applyFont="1" applyFill="1" applyBorder="1" applyAlignment="1">
      <alignment horizontal="center" vertical="center"/>
    </xf>
    <xf numFmtId="0" fontId="3" fillId="7" borderId="102" xfId="0" applyFont="1" applyFill="1" applyBorder="1" applyAlignment="1">
      <alignment horizontal="right"/>
    </xf>
    <xf numFmtId="0" fontId="171" fillId="33" borderId="2" xfId="0" applyFont="1" applyFill="1" applyBorder="1" applyAlignment="1">
      <alignment horizontal="right" vertical="center"/>
    </xf>
    <xf numFmtId="0" fontId="172" fillId="33" borderId="2" xfId="0" applyFont="1" applyFill="1" applyBorder="1" applyAlignment="1">
      <alignment horizontal="centerContinuous" vertical="center"/>
    </xf>
    <xf numFmtId="0" fontId="171" fillId="33" borderId="2" xfId="0" applyFont="1" applyFill="1" applyBorder="1" applyAlignment="1">
      <alignment horizontal="left" vertical="center"/>
    </xf>
    <xf numFmtId="0" fontId="173" fillId="33" borderId="2" xfId="0" applyFont="1" applyFill="1" applyBorder="1" applyAlignment="1">
      <alignment horizontal="center" vertical="center" wrapText="1"/>
    </xf>
    <xf numFmtId="0" fontId="173" fillId="33" borderId="2" xfId="0" applyFont="1" applyFill="1" applyBorder="1" applyAlignment="1">
      <alignment horizontal="center" vertical="center"/>
    </xf>
    <xf numFmtId="0" fontId="174" fillId="33" borderId="2" xfId="0" applyFont="1" applyFill="1" applyBorder="1"/>
    <xf numFmtId="1" fontId="175" fillId="9" borderId="2" xfId="0" applyNumberFormat="1" applyFont="1" applyFill="1" applyBorder="1" applyAlignment="1">
      <alignment vertical="center"/>
    </xf>
    <xf numFmtId="165" fontId="175" fillId="9" borderId="2" xfId="0" applyNumberFormat="1" applyFont="1" applyFill="1" applyBorder="1" applyAlignment="1">
      <alignment vertical="center"/>
    </xf>
    <xf numFmtId="0" fontId="175" fillId="33" borderId="2" xfId="0" applyFont="1" applyFill="1" applyBorder="1" applyAlignment="1">
      <alignment vertical="center" wrapText="1"/>
    </xf>
    <xf numFmtId="0" fontId="175" fillId="33" borderId="2" xfId="0" quotePrefix="1" applyFont="1" applyFill="1" applyBorder="1" applyAlignment="1">
      <alignment horizontal="left" vertical="center" wrapText="1"/>
    </xf>
    <xf numFmtId="0" fontId="176" fillId="33" borderId="2" xfId="0" applyFont="1" applyFill="1" applyBorder="1" applyAlignment="1">
      <alignment vertical="center"/>
    </xf>
    <xf numFmtId="0" fontId="172" fillId="9" borderId="2" xfId="0" applyFont="1" applyFill="1" applyBorder="1" applyAlignment="1">
      <alignment vertical="center"/>
    </xf>
    <xf numFmtId="165" fontId="172" fillId="9" borderId="2" xfId="0" applyNumberFormat="1" applyFont="1" applyFill="1" applyBorder="1" applyAlignment="1">
      <alignment horizontal="right" vertical="center"/>
    </xf>
    <xf numFmtId="165" fontId="172" fillId="9" borderId="2" xfId="0" applyNumberFormat="1" applyFont="1" applyFill="1" applyBorder="1" applyAlignment="1">
      <alignment vertical="center"/>
    </xf>
    <xf numFmtId="1" fontId="172" fillId="9" borderId="2" xfId="0" applyNumberFormat="1" applyFont="1" applyFill="1" applyBorder="1" applyAlignment="1">
      <alignment vertical="center"/>
    </xf>
    <xf numFmtId="0" fontId="175" fillId="33" borderId="2" xfId="0" quotePrefix="1" applyFont="1" applyFill="1" applyBorder="1" applyAlignment="1">
      <alignment horizontal="left" vertical="center"/>
    </xf>
    <xf numFmtId="164" fontId="175" fillId="33" borderId="2" xfId="1" applyNumberFormat="1" applyFont="1" applyFill="1" applyBorder="1" applyAlignment="1">
      <alignment horizontal="right" vertical="center"/>
    </xf>
    <xf numFmtId="164" fontId="172" fillId="33" borderId="2" xfId="1" quotePrefix="1" applyNumberFormat="1" applyFont="1" applyFill="1" applyBorder="1" applyAlignment="1">
      <alignment horizontal="center" vertical="center"/>
    </xf>
    <xf numFmtId="164" fontId="175" fillId="33" borderId="2" xfId="1" quotePrefix="1" applyNumberFormat="1" applyFont="1" applyFill="1" applyBorder="1" applyAlignment="1">
      <alignment horizontal="right" vertical="center"/>
    </xf>
    <xf numFmtId="0" fontId="177" fillId="9" borderId="16" xfId="0" applyFont="1" applyFill="1" applyBorder="1"/>
    <xf numFmtId="0" fontId="175" fillId="9" borderId="0" xfId="0" applyFont="1" applyFill="1" applyBorder="1"/>
    <xf numFmtId="0" fontId="177" fillId="9" borderId="0" xfId="0" applyFont="1" applyFill="1" applyBorder="1"/>
    <xf numFmtId="0" fontId="177" fillId="0" borderId="0" xfId="0" applyFont="1" applyFill="1" applyBorder="1"/>
    <xf numFmtId="0" fontId="175" fillId="0" borderId="0" xfId="0" applyFont="1"/>
    <xf numFmtId="0" fontId="178" fillId="0" borderId="0" xfId="0" applyFont="1" applyFill="1" applyBorder="1"/>
    <xf numFmtId="0" fontId="25" fillId="3" borderId="9" xfId="0" applyFont="1" applyFill="1" applyBorder="1" applyAlignment="1">
      <alignment horizontal="center" vertical="center"/>
    </xf>
    <xf numFmtId="0" fontId="179" fillId="4" borderId="2" xfId="0" applyFont="1" applyFill="1" applyBorder="1" applyAlignment="1">
      <alignment horizontal="center" vertical="center"/>
    </xf>
    <xf numFmtId="165" fontId="156" fillId="9" borderId="2" xfId="0" applyNumberFormat="1" applyFont="1" applyFill="1" applyBorder="1" applyAlignment="1">
      <alignment horizontal="center" vertical="center"/>
    </xf>
    <xf numFmtId="0" fontId="180" fillId="4" borderId="8" xfId="0" applyFont="1" applyFill="1" applyBorder="1" applyAlignment="1">
      <alignment horizontal="center" vertical="center"/>
    </xf>
    <xf numFmtId="9" fontId="0" fillId="0" borderId="0" xfId="0" applyNumberFormat="1"/>
    <xf numFmtId="0" fontId="156" fillId="0" borderId="64" xfId="0" applyFont="1" applyBorder="1" applyAlignment="1">
      <alignment vertical="top" wrapText="1" readingOrder="2"/>
    </xf>
    <xf numFmtId="0" fontId="136" fillId="24" borderId="85" xfId="0" applyFont="1" applyFill="1" applyBorder="1" applyAlignment="1">
      <alignment vertical="center"/>
    </xf>
    <xf numFmtId="3" fontId="182" fillId="24" borderId="85" xfId="0" applyNumberFormat="1" applyFont="1" applyFill="1" applyBorder="1" applyAlignment="1">
      <alignment vertical="center"/>
    </xf>
    <xf numFmtId="3" fontId="181" fillId="24" borderId="0" xfId="0" applyNumberFormat="1" applyFont="1" applyFill="1" applyBorder="1" applyAlignment="1">
      <alignment vertical="center"/>
    </xf>
    <xf numFmtId="0" fontId="183" fillId="0" borderId="65" xfId="0" applyFont="1" applyBorder="1" applyAlignment="1">
      <alignment horizontal="right" vertical="top" wrapText="1" readingOrder="2"/>
    </xf>
    <xf numFmtId="0" fontId="106" fillId="10" borderId="0" xfId="0" applyFont="1" applyFill="1" applyAlignment="1">
      <alignment horizontal="center"/>
    </xf>
    <xf numFmtId="164" fontId="187" fillId="4" borderId="91" xfId="1" applyNumberFormat="1" applyFont="1" applyFill="1" applyBorder="1" applyAlignment="1">
      <alignment horizontal="center" vertical="center"/>
    </xf>
    <xf numFmtId="164" fontId="186" fillId="17" borderId="22" xfId="1" applyNumberFormat="1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/>
    </xf>
    <xf numFmtId="0" fontId="59" fillId="17" borderId="20" xfId="0" applyFont="1" applyFill="1" applyBorder="1"/>
    <xf numFmtId="1" fontId="59" fillId="17" borderId="21" xfId="0" applyNumberFormat="1" applyFont="1" applyFill="1" applyBorder="1" applyAlignment="1">
      <alignment horizontal="center" vertical="center"/>
    </xf>
    <xf numFmtId="1" fontId="20" fillId="17" borderId="22" xfId="0" applyNumberFormat="1" applyFont="1" applyFill="1" applyBorder="1" applyAlignment="1">
      <alignment horizontal="center" vertical="center" wrapText="1"/>
    </xf>
    <xf numFmtId="1" fontId="20" fillId="17" borderId="0" xfId="0" applyNumberFormat="1" applyFont="1" applyFill="1" applyBorder="1" applyAlignment="1">
      <alignment horizontal="center" vertical="center" wrapText="1"/>
    </xf>
    <xf numFmtId="1" fontId="20" fillId="4" borderId="107" xfId="0" applyNumberFormat="1" applyFont="1" applyFill="1" applyBorder="1" applyAlignment="1">
      <alignment horizontal="center" vertical="center"/>
    </xf>
    <xf numFmtId="0" fontId="115" fillId="0" borderId="107" xfId="0" applyFont="1" applyBorder="1" applyAlignment="1">
      <alignment horizontal="right"/>
    </xf>
    <xf numFmtId="1" fontId="46" fillId="0" borderId="107" xfId="0" applyNumberFormat="1" applyFont="1" applyBorder="1" applyAlignment="1">
      <alignment horizontal="center" vertical="center"/>
    </xf>
    <xf numFmtId="0" fontId="84" fillId="8" borderId="107" xfId="0" applyFont="1" applyFill="1" applyBorder="1"/>
    <xf numFmtId="1" fontId="46" fillId="32" borderId="107" xfId="0" applyNumberFormat="1" applyFont="1" applyFill="1" applyBorder="1" applyAlignment="1">
      <alignment horizontal="center" vertical="center"/>
    </xf>
    <xf numFmtId="1" fontId="59" fillId="32" borderId="107" xfId="0" applyNumberFormat="1" applyFont="1" applyFill="1" applyBorder="1" applyAlignment="1">
      <alignment horizontal="center" vertical="center"/>
    </xf>
    <xf numFmtId="0" fontId="115" fillId="32" borderId="107" xfId="0" applyFont="1" applyFill="1" applyBorder="1" applyAlignment="1">
      <alignment horizontal="right"/>
    </xf>
    <xf numFmtId="0" fontId="0" fillId="0" borderId="108" xfId="0" applyBorder="1" applyAlignment="1">
      <alignment vertical="center"/>
    </xf>
    <xf numFmtId="0" fontId="0" fillId="0" borderId="109" xfId="0" applyBorder="1" applyAlignment="1">
      <alignment vertical="center"/>
    </xf>
    <xf numFmtId="1" fontId="59" fillId="32" borderId="108" xfId="0" applyNumberFormat="1" applyFont="1" applyFill="1" applyBorder="1" applyAlignment="1">
      <alignment horizontal="center" vertical="center"/>
    </xf>
    <xf numFmtId="1" fontId="20" fillId="4" borderId="108" xfId="0" applyNumberFormat="1" applyFont="1" applyFill="1" applyBorder="1" applyAlignment="1">
      <alignment horizontal="center" vertical="center"/>
    </xf>
    <xf numFmtId="0" fontId="115" fillId="0" borderId="110" xfId="0" applyFont="1" applyBorder="1" applyAlignment="1">
      <alignment horizontal="right"/>
    </xf>
    <xf numFmtId="0" fontId="8" fillId="0" borderId="111" xfId="0" applyFont="1" applyBorder="1"/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10" borderId="0" xfId="0" applyNumberFormat="1" applyFill="1" applyAlignment="1">
      <alignment horizontal="center" vertical="center"/>
    </xf>
    <xf numFmtId="0" fontId="42" fillId="10" borderId="0" xfId="0" applyFont="1" applyFill="1" applyAlignment="1">
      <alignment horizontal="center" vertical="center"/>
    </xf>
    <xf numFmtId="17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117" fillId="34" borderId="59" xfId="0" applyFont="1" applyFill="1" applyBorder="1" applyAlignment="1">
      <alignment horizontal="center" wrapText="1" readingOrder="1"/>
    </xf>
    <xf numFmtId="0" fontId="118" fillId="34" borderId="29" xfId="0" applyFont="1" applyFill="1" applyBorder="1" applyAlignment="1">
      <alignment horizontal="center" wrapText="1" readingOrder="1"/>
    </xf>
    <xf numFmtId="3" fontId="62" fillId="34" borderId="0" xfId="0" applyNumberFormat="1" applyFont="1" applyFill="1" applyAlignment="1">
      <alignment horizontal="center"/>
    </xf>
    <xf numFmtId="0" fontId="22" fillId="0" borderId="0" xfId="0" applyFont="1" applyBorder="1" applyAlignment="1">
      <alignment horizontal="left" wrapText="1" readingOrder="1"/>
    </xf>
    <xf numFmtId="3" fontId="30" fillId="0" borderId="0" xfId="0" applyNumberFormat="1" applyFont="1" applyBorder="1" applyAlignment="1">
      <alignment horizontal="center" wrapText="1" readingOrder="1"/>
    </xf>
    <xf numFmtId="1" fontId="0" fillId="0" borderId="0" xfId="0" applyNumberFormat="1" applyAlignment="1">
      <alignment horizontal="center"/>
    </xf>
    <xf numFmtId="0" fontId="65" fillId="4" borderId="0" xfId="0" applyFont="1" applyFill="1" applyAlignment="1">
      <alignment horizontal="left"/>
    </xf>
    <xf numFmtId="0" fontId="65" fillId="4" borderId="0" xfId="0" applyFont="1" applyFill="1" applyAlignment="1">
      <alignment horizontal="center"/>
    </xf>
    <xf numFmtId="1" fontId="65" fillId="4" borderId="0" xfId="0" applyNumberFormat="1" applyFont="1" applyFill="1" applyAlignment="1">
      <alignment horizontal="center"/>
    </xf>
    <xf numFmtId="2" fontId="5" fillId="0" borderId="0" xfId="0" applyNumberFormat="1" applyFont="1"/>
    <xf numFmtId="9" fontId="144" fillId="27" borderId="67" xfId="1" applyFont="1" applyFill="1" applyBorder="1" applyAlignment="1">
      <alignment horizontal="center" vertical="center"/>
    </xf>
    <xf numFmtId="9" fontId="144" fillId="27" borderId="75" xfId="1" applyFont="1" applyFill="1" applyBorder="1" applyAlignment="1">
      <alignment horizontal="center" vertical="center"/>
    </xf>
    <xf numFmtId="9" fontId="169" fillId="24" borderId="76" xfId="1" applyFont="1" applyFill="1" applyBorder="1" applyAlignment="1">
      <alignment horizontal="center" vertical="center"/>
    </xf>
    <xf numFmtId="9" fontId="169" fillId="24" borderId="2" xfId="1" applyFont="1" applyFill="1" applyBorder="1" applyAlignment="1">
      <alignment horizontal="center" vertical="center"/>
    </xf>
    <xf numFmtId="9" fontId="144" fillId="30" borderId="67" xfId="1" applyFont="1" applyFill="1" applyBorder="1" applyAlignment="1">
      <alignment horizontal="center" vertical="center"/>
    </xf>
    <xf numFmtId="9" fontId="144" fillId="30" borderId="75" xfId="1" applyFont="1" applyFill="1" applyBorder="1" applyAlignment="1">
      <alignment horizontal="center" vertical="center"/>
    </xf>
    <xf numFmtId="9" fontId="144" fillId="32" borderId="67" xfId="1" applyFont="1" applyFill="1" applyBorder="1" applyAlignment="1">
      <alignment horizontal="center" vertical="center"/>
    </xf>
    <xf numFmtId="9" fontId="144" fillId="32" borderId="75" xfId="1" applyFont="1" applyFill="1" applyBorder="1" applyAlignment="1">
      <alignment horizontal="center" vertical="center"/>
    </xf>
    <xf numFmtId="9" fontId="138" fillId="24" borderId="2" xfId="1" applyFont="1" applyFill="1" applyBorder="1" applyAlignment="1">
      <alignment horizontal="center" vertical="center"/>
    </xf>
    <xf numFmtId="0" fontId="70" fillId="4" borderId="8" xfId="0" applyFont="1" applyFill="1" applyBorder="1"/>
    <xf numFmtId="3" fontId="70" fillId="0" borderId="0" xfId="0" applyNumberFormat="1" applyFont="1" applyFill="1" applyBorder="1" applyAlignment="1">
      <alignment horizontal="center" vertical="center"/>
    </xf>
    <xf numFmtId="3" fontId="70" fillId="0" borderId="30" xfId="0" applyNumberFormat="1" applyFont="1" applyFill="1" applyBorder="1" applyAlignment="1">
      <alignment horizontal="center" vertical="center"/>
    </xf>
    <xf numFmtId="164" fontId="70" fillId="4" borderId="9" xfId="1" applyNumberFormat="1" applyFont="1" applyFill="1" applyBorder="1" applyAlignment="1">
      <alignment horizontal="center" vertical="center"/>
    </xf>
    <xf numFmtId="1" fontId="162" fillId="11" borderId="8" xfId="0" applyNumberFormat="1" applyFont="1" applyFill="1" applyBorder="1" applyAlignment="1">
      <alignment horizontal="center"/>
    </xf>
    <xf numFmtId="1" fontId="162" fillId="11" borderId="2" xfId="0" applyNumberFormat="1" applyFont="1" applyFill="1" applyBorder="1" applyAlignment="1">
      <alignment horizontal="center" vertical="center"/>
    </xf>
    <xf numFmtId="3" fontId="116" fillId="11" borderId="14" xfId="0" applyNumberFormat="1" applyFont="1" applyFill="1" applyBorder="1" applyAlignment="1">
      <alignment horizontal="center"/>
    </xf>
    <xf numFmtId="1" fontId="164" fillId="4" borderId="18" xfId="0" applyNumberFormat="1" applyFont="1" applyFill="1" applyBorder="1" applyAlignment="1">
      <alignment horizontal="center"/>
    </xf>
    <xf numFmtId="3" fontId="70" fillId="0" borderId="9" xfId="0" applyNumberFormat="1" applyFont="1" applyFill="1" applyBorder="1" applyAlignment="1">
      <alignment horizontal="center" vertical="center"/>
    </xf>
    <xf numFmtId="1" fontId="162" fillId="11" borderId="8" xfId="0" applyNumberFormat="1" applyFont="1" applyFill="1" applyBorder="1" applyAlignment="1">
      <alignment horizontal="center" vertical="center"/>
    </xf>
    <xf numFmtId="3" fontId="116" fillId="11" borderId="14" xfId="0" applyNumberFormat="1" applyFont="1" applyFill="1" applyBorder="1" applyAlignment="1">
      <alignment horizontal="center" vertical="center"/>
    </xf>
    <xf numFmtId="0" fontId="0" fillId="6" borderId="0" xfId="0" applyFill="1"/>
    <xf numFmtId="164" fontId="8" fillId="6" borderId="0" xfId="1" applyNumberFormat="1" applyFont="1" applyFill="1" applyAlignment="1">
      <alignment horizontal="center"/>
    </xf>
    <xf numFmtId="1" fontId="5" fillId="0" borderId="0" xfId="0" applyNumberFormat="1" applyFont="1"/>
    <xf numFmtId="1" fontId="5" fillId="30" borderId="80" xfId="0" applyNumberFormat="1" applyFont="1" applyFill="1" applyBorder="1" applyAlignment="1">
      <alignment horizontal="center" vertical="center"/>
    </xf>
    <xf numFmtId="1" fontId="5" fillId="30" borderId="94" xfId="0" applyNumberFormat="1" applyFont="1" applyFill="1" applyBorder="1" applyAlignment="1">
      <alignment horizontal="center" vertical="center"/>
    </xf>
    <xf numFmtId="1" fontId="5" fillId="32" borderId="80" xfId="0" applyNumberFormat="1" applyFont="1" applyFill="1" applyBorder="1" applyAlignment="1">
      <alignment horizontal="center" vertical="center"/>
    </xf>
    <xf numFmtId="1" fontId="5" fillId="32" borderId="94" xfId="0" applyNumberFormat="1" applyFont="1" applyFill="1" applyBorder="1" applyAlignment="1">
      <alignment horizontal="center" vertical="center"/>
    </xf>
    <xf numFmtId="1" fontId="5" fillId="27" borderId="75" xfId="0" applyNumberFormat="1" applyFont="1" applyFill="1" applyBorder="1" applyAlignment="1">
      <alignment horizontal="center" vertical="center"/>
    </xf>
    <xf numFmtId="1" fontId="5" fillId="27" borderId="86" xfId="0" applyNumberFormat="1" applyFont="1" applyFill="1" applyBorder="1" applyAlignment="1">
      <alignment horizontal="center" vertical="center"/>
    </xf>
    <xf numFmtId="1" fontId="5" fillId="4" borderId="18" xfId="0" applyNumberFormat="1" applyFont="1" applyFill="1" applyBorder="1" applyAlignment="1">
      <alignment horizontal="center" vertical="center"/>
    </xf>
    <xf numFmtId="1" fontId="5" fillId="4" borderId="112" xfId="0" applyNumberFormat="1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9" fontId="70" fillId="27" borderId="45" xfId="1" applyFont="1" applyFill="1" applyBorder="1" applyAlignment="1">
      <alignment horizontal="center" vertical="center"/>
    </xf>
    <xf numFmtId="170" fontId="70" fillId="27" borderId="82" xfId="0" applyNumberFormat="1" applyFont="1" applyFill="1" applyBorder="1" applyAlignment="1">
      <alignment horizontal="center" vertical="center"/>
    </xf>
    <xf numFmtId="170" fontId="70" fillId="27" borderId="8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readingOrder="2"/>
    </xf>
    <xf numFmtId="0" fontId="4" fillId="3" borderId="0" xfId="0" applyFont="1" applyFill="1" applyAlignment="1">
      <alignment readingOrder="2"/>
    </xf>
    <xf numFmtId="170" fontId="106" fillId="10" borderId="0" xfId="0" applyNumberFormat="1" applyFont="1" applyFill="1" applyAlignment="1">
      <alignment horizontal="center"/>
    </xf>
    <xf numFmtId="0" fontId="69" fillId="6" borderId="0" xfId="0" applyFont="1" applyFill="1" applyAlignment="1">
      <alignment horizontal="center"/>
    </xf>
    <xf numFmtId="0" fontId="142" fillId="6" borderId="0" xfId="0" applyFont="1" applyFill="1" applyAlignment="1">
      <alignment horizontal="center"/>
    </xf>
    <xf numFmtId="0" fontId="14" fillId="7" borderId="15" xfId="0" applyFont="1" applyFill="1" applyBorder="1" applyAlignment="1">
      <alignment vertical="center"/>
    </xf>
    <xf numFmtId="1" fontId="149" fillId="9" borderId="2" xfId="0" applyNumberFormat="1" applyFont="1" applyFill="1" applyBorder="1" applyAlignment="1">
      <alignment horizontal="center" vertical="center"/>
    </xf>
    <xf numFmtId="165" fontId="149" fillId="9" borderId="2" xfId="0" applyNumberFormat="1" applyFont="1" applyFill="1" applyBorder="1" applyAlignment="1">
      <alignment horizontal="center" vertical="center"/>
    </xf>
    <xf numFmtId="0" fontId="188" fillId="4" borderId="0" xfId="0" applyFont="1" applyFill="1"/>
    <xf numFmtId="164" fontId="0" fillId="4" borderId="0" xfId="0" applyNumberFormat="1" applyFill="1"/>
    <xf numFmtId="164" fontId="0" fillId="4" borderId="0" xfId="1" applyNumberFormat="1" applyFont="1" applyFill="1"/>
    <xf numFmtId="0" fontId="0" fillId="4" borderId="118" xfId="0" applyFill="1" applyBorder="1"/>
    <xf numFmtId="0" fontId="0" fillId="4" borderId="117" xfId="0" applyFill="1" applyBorder="1"/>
    <xf numFmtId="1" fontId="12" fillId="4" borderId="101" xfId="0" applyNumberFormat="1" applyFont="1" applyFill="1" applyBorder="1" applyAlignment="1">
      <alignment wrapText="1"/>
    </xf>
    <xf numFmtId="1" fontId="12" fillId="4" borderId="0" xfId="0" applyNumberFormat="1" applyFont="1" applyFill="1" applyBorder="1" applyAlignment="1">
      <alignment wrapText="1"/>
    </xf>
    <xf numFmtId="1" fontId="12" fillId="4" borderId="102" xfId="0" applyNumberFormat="1" applyFont="1" applyFill="1" applyBorder="1" applyAlignment="1">
      <alignment wrapText="1"/>
    </xf>
    <xf numFmtId="0" fontId="0" fillId="4" borderId="120" xfId="0" applyFill="1" applyBorder="1"/>
    <xf numFmtId="1" fontId="18" fillId="8" borderId="119" xfId="0" applyNumberFormat="1" applyFont="1" applyFill="1" applyBorder="1" applyAlignment="1">
      <alignment horizontal="center" vertical="center" wrapText="1"/>
    </xf>
    <xf numFmtId="0" fontId="0" fillId="4" borderId="122" xfId="0" applyFill="1" applyBorder="1"/>
    <xf numFmtId="0" fontId="0" fillId="4" borderId="123" xfId="0" applyFill="1" applyBorder="1"/>
    <xf numFmtId="1" fontId="18" fillId="8" borderId="121" xfId="0" applyNumberFormat="1" applyFont="1" applyFill="1" applyBorder="1" applyAlignment="1">
      <alignment horizontal="center" vertical="center" wrapText="1"/>
    </xf>
    <xf numFmtId="165" fontId="14" fillId="7" borderId="105" xfId="0" applyNumberFormat="1" applyFont="1" applyFill="1" applyBorder="1" applyAlignment="1">
      <alignment horizontal="center" vertical="center"/>
    </xf>
    <xf numFmtId="0" fontId="110" fillId="0" borderId="2" xfId="0" applyFont="1" applyBorder="1" applyAlignment="1">
      <alignment horizontal="center"/>
    </xf>
    <xf numFmtId="0" fontId="110" fillId="0" borderId="115" xfId="0" applyFont="1" applyBorder="1" applyAlignment="1">
      <alignment horizontal="center"/>
    </xf>
    <xf numFmtId="0" fontId="189" fillId="4" borderId="0" xfId="0" applyFont="1" applyFill="1" applyBorder="1"/>
    <xf numFmtId="0" fontId="10" fillId="7" borderId="0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10" fillId="7" borderId="116" xfId="0" applyFont="1" applyFill="1" applyBorder="1" applyAlignment="1">
      <alignment horizontal="center" vertical="center"/>
    </xf>
    <xf numFmtId="165" fontId="10" fillId="7" borderId="0" xfId="0" applyNumberFormat="1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7" borderId="113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20" fillId="4" borderId="126" xfId="0" applyFont="1" applyFill="1" applyBorder="1" applyAlignment="1">
      <alignment horizontal="left" vertical="center"/>
    </xf>
    <xf numFmtId="0" fontId="20" fillId="4" borderId="125" xfId="0" applyFont="1" applyFill="1" applyBorder="1" applyAlignment="1">
      <alignment horizontal="left" vertical="center"/>
    </xf>
    <xf numFmtId="0" fontId="61" fillId="11" borderId="0" xfId="0" applyFont="1" applyFill="1"/>
    <xf numFmtId="0" fontId="65" fillId="11" borderId="2" xfId="0" applyFont="1" applyFill="1" applyBorder="1" applyAlignment="1">
      <alignment horizontal="center"/>
    </xf>
    <xf numFmtId="0" fontId="10" fillId="7" borderId="58" xfId="0" applyFont="1" applyFill="1" applyBorder="1" applyAlignment="1">
      <alignment horizontal="center" vertical="center"/>
    </xf>
    <xf numFmtId="0" fontId="110" fillId="0" borderId="18" xfId="0" applyFont="1" applyBorder="1" applyAlignment="1">
      <alignment horizontal="center"/>
    </xf>
    <xf numFmtId="0" fontId="110" fillId="0" borderId="127" xfId="0" applyFont="1" applyBorder="1" applyAlignment="1">
      <alignment horizontal="center"/>
    </xf>
    <xf numFmtId="0" fontId="65" fillId="11" borderId="121" xfId="0" applyFont="1" applyFill="1" applyBorder="1" applyAlignment="1">
      <alignment horizontal="center"/>
    </xf>
    <xf numFmtId="0" fontId="65" fillId="11" borderId="129" xfId="0" applyFont="1" applyFill="1" applyBorder="1" applyAlignment="1">
      <alignment horizontal="center"/>
    </xf>
    <xf numFmtId="0" fontId="65" fillId="11" borderId="14" xfId="0" applyFont="1" applyFill="1" applyBorder="1" applyAlignment="1">
      <alignment horizontal="center"/>
    </xf>
    <xf numFmtId="0" fontId="65" fillId="11" borderId="115" xfId="0" applyFont="1" applyFill="1" applyBorder="1" applyAlignment="1">
      <alignment horizontal="center"/>
    </xf>
    <xf numFmtId="165" fontId="30" fillId="0" borderId="121" xfId="0" applyNumberFormat="1" applyFont="1" applyBorder="1" applyAlignment="1">
      <alignment horizontal="center"/>
    </xf>
    <xf numFmtId="165" fontId="30" fillId="0" borderId="8" xfId="0" applyNumberFormat="1" applyFont="1" applyBorder="1" applyAlignment="1">
      <alignment horizontal="center"/>
    </xf>
    <xf numFmtId="0" fontId="103" fillId="4" borderId="30" xfId="0" applyFont="1" applyFill="1" applyBorder="1" applyAlignment="1">
      <alignment horizontal="center" vertical="center"/>
    </xf>
    <xf numFmtId="165" fontId="103" fillId="4" borderId="30" xfId="0" applyNumberFormat="1" applyFont="1" applyFill="1" applyBorder="1" applyAlignment="1">
      <alignment horizontal="center" vertical="center"/>
    </xf>
    <xf numFmtId="16" fontId="70" fillId="4" borderId="102" xfId="0" quotePrefix="1" applyNumberFormat="1" applyFont="1" applyFill="1" applyBorder="1" applyAlignment="1">
      <alignment horizontal="center"/>
    </xf>
    <xf numFmtId="16" fontId="70" fillId="4" borderId="30" xfId="0" quotePrefix="1" applyNumberFormat="1" applyFont="1" applyFill="1" applyBorder="1" applyAlignment="1">
      <alignment horizontal="center"/>
    </xf>
    <xf numFmtId="0" fontId="32" fillId="4" borderId="101" xfId="0" applyFont="1" applyFill="1" applyBorder="1" applyAlignment="1">
      <alignment horizontal="center" vertical="center"/>
    </xf>
    <xf numFmtId="0" fontId="100" fillId="19" borderId="12" xfId="0" applyFont="1" applyFill="1" applyBorder="1" applyAlignment="1">
      <alignment horizontal="center" vertical="center" wrapText="1"/>
    </xf>
    <xf numFmtId="1" fontId="100" fillId="19" borderId="18" xfId="0" applyNumberFormat="1" applyFont="1" applyFill="1" applyBorder="1" applyAlignment="1">
      <alignment horizontal="center" vertical="center"/>
    </xf>
    <xf numFmtId="164" fontId="100" fillId="19" borderId="18" xfId="1" applyNumberFormat="1" applyFont="1" applyFill="1" applyBorder="1" applyAlignment="1">
      <alignment horizontal="center" vertical="center"/>
    </xf>
    <xf numFmtId="17" fontId="102" fillId="20" borderId="2" xfId="0" applyNumberFormat="1" applyFont="1" applyFill="1" applyBorder="1" applyAlignment="1">
      <alignment horizontal="center" vertical="center"/>
    </xf>
    <xf numFmtId="0" fontId="101" fillId="20" borderId="2" xfId="0" applyFont="1" applyFill="1" applyBorder="1" applyAlignment="1"/>
    <xf numFmtId="0" fontId="65" fillId="8" borderId="0" xfId="0" applyFont="1" applyFill="1" applyBorder="1" applyAlignment="1">
      <alignment horizontal="center" vertical="center"/>
    </xf>
    <xf numFmtId="16" fontId="109" fillId="16" borderId="26" xfId="0" quotePrefix="1" applyNumberFormat="1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/>
    </xf>
    <xf numFmtId="16" fontId="109" fillId="16" borderId="0" xfId="0" quotePrefix="1" applyNumberFormat="1" applyFont="1" applyFill="1" applyBorder="1" applyAlignment="1">
      <alignment horizontal="center" vertical="center"/>
    </xf>
    <xf numFmtId="164" fontId="65" fillId="4" borderId="0" xfId="1" applyNumberFormat="1" applyFont="1" applyFill="1" applyBorder="1" applyAlignment="1">
      <alignment horizontal="center" vertical="center"/>
    </xf>
    <xf numFmtId="164" fontId="65" fillId="8" borderId="0" xfId="1" applyNumberFormat="1" applyFont="1" applyFill="1" applyBorder="1" applyAlignment="1">
      <alignment horizontal="center" vertical="center"/>
    </xf>
    <xf numFmtId="0" fontId="142" fillId="6" borderId="0" xfId="0" applyFont="1" applyFill="1" applyBorder="1" applyAlignment="1">
      <alignment horizontal="center"/>
    </xf>
    <xf numFmtId="167" fontId="65" fillId="4" borderId="0" xfId="0" applyNumberFormat="1" applyFont="1" applyFill="1" applyBorder="1" applyAlignment="1">
      <alignment horizontal="center" vertical="center"/>
    </xf>
    <xf numFmtId="165" fontId="151" fillId="3" borderId="2" xfId="0" applyNumberFormat="1" applyFont="1" applyFill="1" applyBorder="1" applyAlignment="1">
      <alignment horizontal="center" vertical="center"/>
    </xf>
    <xf numFmtId="1" fontId="151" fillId="3" borderId="2" xfId="0" applyNumberFormat="1" applyFont="1" applyFill="1" applyBorder="1" applyAlignment="1">
      <alignment horizontal="center" vertical="center"/>
    </xf>
    <xf numFmtId="164" fontId="190" fillId="3" borderId="2" xfId="1" applyNumberFormat="1" applyFont="1" applyFill="1" applyBorder="1" applyAlignment="1">
      <alignment horizontal="center" vertical="center"/>
    </xf>
    <xf numFmtId="164" fontId="190" fillId="3" borderId="2" xfId="1" quotePrefix="1" applyNumberFormat="1" applyFont="1" applyFill="1" applyBorder="1" applyAlignment="1">
      <alignment horizontal="center" vertical="center"/>
    </xf>
    <xf numFmtId="1" fontId="83" fillId="4" borderId="13" xfId="0" applyNumberFormat="1" applyFont="1" applyFill="1" applyBorder="1" applyAlignment="1">
      <alignment horizontal="center"/>
    </xf>
    <xf numFmtId="1" fontId="83" fillId="4" borderId="128" xfId="0" applyNumberFormat="1" applyFont="1" applyFill="1" applyBorder="1" applyAlignment="1">
      <alignment horizontal="center"/>
    </xf>
    <xf numFmtId="1" fontId="83" fillId="4" borderId="127" xfId="0" applyNumberFormat="1" applyFont="1" applyFill="1" applyBorder="1" applyAlignment="1">
      <alignment horizontal="center"/>
    </xf>
    <xf numFmtId="1" fontId="83" fillId="4" borderId="8" xfId="0" applyNumberFormat="1" applyFont="1" applyFill="1" applyBorder="1" applyAlignment="1">
      <alignment horizontal="center"/>
    </xf>
    <xf numFmtId="1" fontId="83" fillId="4" borderId="124" xfId="0" applyNumberFormat="1" applyFont="1" applyFill="1" applyBorder="1" applyAlignment="1">
      <alignment horizontal="center"/>
    </xf>
    <xf numFmtId="1" fontId="83" fillId="4" borderId="115" xfId="0" applyNumberFormat="1" applyFont="1" applyFill="1" applyBorder="1" applyAlignment="1">
      <alignment horizontal="center"/>
    </xf>
    <xf numFmtId="0" fontId="3" fillId="6" borderId="0" xfId="0" applyFont="1" applyFill="1" applyAlignment="1"/>
    <xf numFmtId="165" fontId="3" fillId="6" borderId="0" xfId="0" applyNumberFormat="1" applyFont="1" applyFill="1" applyAlignment="1">
      <alignment horizontal="center"/>
    </xf>
    <xf numFmtId="164" fontId="3" fillId="6" borderId="0" xfId="1" applyNumberFormat="1" applyFont="1" applyFill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9" fillId="3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165" fontId="165" fillId="16" borderId="0" xfId="0" applyNumberFormat="1" applyFont="1" applyFill="1" applyBorder="1" applyAlignment="1">
      <alignment horizontal="center" vertical="center"/>
    </xf>
    <xf numFmtId="0" fontId="191" fillId="0" borderId="0" xfId="0" applyFont="1"/>
    <xf numFmtId="0" fontId="192" fillId="0" borderId="0" xfId="0" applyFont="1"/>
    <xf numFmtId="0" fontId="193" fillId="0" borderId="0" xfId="0" applyFont="1"/>
    <xf numFmtId="0" fontId="194" fillId="0" borderId="0" xfId="0" applyFont="1"/>
    <xf numFmtId="171" fontId="159" fillId="11" borderId="0" xfId="2" applyNumberFormat="1" applyFont="1" applyFill="1" applyBorder="1" applyAlignment="1">
      <alignment horizontal="right" vertical="center" readingOrder="1"/>
    </xf>
    <xf numFmtId="0" fontId="0" fillId="11" borderId="0" xfId="0" applyFill="1"/>
    <xf numFmtId="172" fontId="195" fillId="11" borderId="0" xfId="2" applyNumberFormat="1" applyFont="1" applyFill="1" applyBorder="1" applyAlignment="1">
      <alignment horizontal="center" vertical="center"/>
    </xf>
    <xf numFmtId="0" fontId="159" fillId="11" borderId="0" xfId="2" applyNumberFormat="1" applyFont="1" applyFill="1" applyBorder="1" applyAlignment="1">
      <alignment horizontal="center" vertical="center"/>
    </xf>
    <xf numFmtId="0" fontId="36" fillId="11" borderId="0" xfId="2" applyNumberFormat="1" applyFont="1" applyFill="1" applyBorder="1" applyAlignment="1">
      <alignment horizontal="center" vertical="center"/>
    </xf>
    <xf numFmtId="0" fontId="36" fillId="4" borderId="0" xfId="2" applyNumberFormat="1" applyFont="1" applyFill="1" applyBorder="1" applyAlignment="1">
      <alignment horizontal="center" vertical="center"/>
    </xf>
    <xf numFmtId="0" fontId="195" fillId="11" borderId="0" xfId="2" applyNumberFormat="1" applyFont="1" applyFill="1" applyBorder="1" applyAlignment="1">
      <alignment horizontal="center" vertical="center"/>
    </xf>
    <xf numFmtId="0" fontId="146" fillId="3" borderId="0" xfId="2" applyNumberFormat="1" applyFont="1" applyFill="1" applyBorder="1" applyAlignment="1">
      <alignment horizontal="center" vertical="center"/>
    </xf>
    <xf numFmtId="0" fontId="196" fillId="3" borderId="0" xfId="2" applyNumberFormat="1" applyFont="1" applyFill="1" applyBorder="1" applyAlignment="1">
      <alignment horizontal="center" vertical="center"/>
    </xf>
    <xf numFmtId="171" fontId="196" fillId="3" borderId="0" xfId="2" applyNumberFormat="1" applyFont="1" applyFill="1" applyAlignment="1">
      <alignment horizontal="center"/>
    </xf>
    <xf numFmtId="165" fontId="49" fillId="3" borderId="0" xfId="0" applyNumberFormat="1" applyFont="1" applyFill="1" applyBorder="1" applyAlignment="1">
      <alignment horizontal="center"/>
    </xf>
    <xf numFmtId="165" fontId="146" fillId="3" borderId="0" xfId="2" applyNumberFormat="1" applyFont="1" applyFill="1" applyBorder="1" applyAlignment="1">
      <alignment horizontal="center" vertical="center"/>
    </xf>
    <xf numFmtId="165" fontId="36" fillId="11" borderId="0" xfId="2" applyNumberFormat="1" applyFont="1" applyFill="1" applyBorder="1" applyAlignment="1">
      <alignment horizontal="center" vertical="center"/>
    </xf>
    <xf numFmtId="164" fontId="165" fillId="16" borderId="0" xfId="1" applyNumberFormat="1" applyFont="1" applyFill="1" applyBorder="1" applyAlignment="1">
      <alignment horizontal="center" vertical="center"/>
    </xf>
    <xf numFmtId="0" fontId="15" fillId="15" borderId="0" xfId="0" applyFont="1" applyFill="1" applyAlignment="1">
      <alignment horizontal="center" vertical="center" wrapText="1" readingOrder="2"/>
    </xf>
    <xf numFmtId="0" fontId="22" fillId="4" borderId="0" xfId="0" applyFont="1" applyFill="1" applyAlignment="1">
      <alignment horizontal="center"/>
    </xf>
    <xf numFmtId="0" fontId="55" fillId="16" borderId="0" xfId="0" applyFont="1" applyFill="1" applyAlignment="1">
      <alignment horizontal="center" vertical="center" wrapText="1" readingOrder="2"/>
    </xf>
    <xf numFmtId="0" fontId="28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 wrapText="1" readingOrder="1"/>
    </xf>
    <xf numFmtId="0" fontId="65" fillId="29" borderId="79" xfId="0" applyFont="1" applyFill="1" applyBorder="1" applyAlignment="1">
      <alignment horizontal="center" vertical="center" wrapText="1"/>
    </xf>
    <xf numFmtId="0" fontId="65" fillId="29" borderId="96" xfId="0" applyFont="1" applyFill="1" applyBorder="1" applyAlignment="1">
      <alignment horizontal="center" vertical="center" wrapText="1"/>
    </xf>
    <xf numFmtId="0" fontId="65" fillId="29" borderId="95" xfId="0" applyFont="1" applyFill="1" applyBorder="1" applyAlignment="1">
      <alignment horizontal="center" vertical="center" wrapText="1"/>
    </xf>
    <xf numFmtId="0" fontId="48" fillId="24" borderId="85" xfId="0" applyFont="1" applyFill="1" applyBorder="1" applyAlignment="1">
      <alignment horizontal="left" vertical="center" indent="2"/>
    </xf>
    <xf numFmtId="0" fontId="48" fillId="29" borderId="79" xfId="0" applyFont="1" applyFill="1" applyBorder="1" applyAlignment="1">
      <alignment horizontal="center" vertical="center"/>
    </xf>
    <xf numFmtId="0" fontId="48" fillId="29" borderId="130" xfId="0" applyFont="1" applyFill="1" applyBorder="1" applyAlignment="1">
      <alignment horizontal="center" vertical="center"/>
    </xf>
    <xf numFmtId="0" fontId="112" fillId="24" borderId="76" xfId="0" applyFont="1" applyFill="1" applyBorder="1" applyAlignment="1">
      <alignment horizontal="right" vertical="center" indent="1"/>
    </xf>
    <xf numFmtId="0" fontId="112" fillId="24" borderId="31" xfId="0" applyFont="1" applyFill="1" applyBorder="1" applyAlignment="1">
      <alignment horizontal="right" vertical="center" indent="1"/>
    </xf>
    <xf numFmtId="0" fontId="116" fillId="24" borderId="92" xfId="0" applyFont="1" applyFill="1" applyBorder="1" applyAlignment="1">
      <alignment horizontal="right" vertical="center" indent="1"/>
    </xf>
    <xf numFmtId="0" fontId="116" fillId="24" borderId="93" xfId="0" applyFont="1" applyFill="1" applyBorder="1" applyAlignment="1">
      <alignment horizontal="right" vertical="center" indent="1"/>
    </xf>
    <xf numFmtId="0" fontId="136" fillId="24" borderId="69" xfId="0" applyFont="1" applyFill="1" applyBorder="1" applyAlignment="1">
      <alignment horizontal="right" vertical="center" indent="1" readingOrder="2"/>
    </xf>
    <xf numFmtId="169" fontId="144" fillId="27" borderId="45" xfId="0" applyNumberFormat="1" applyFont="1" applyFill="1" applyBorder="1" applyAlignment="1">
      <alignment horizontal="right" vertical="center" indent="1"/>
    </xf>
    <xf numFmtId="169" fontId="144" fillId="27" borderId="59" xfId="0" applyNumberFormat="1" applyFont="1" applyFill="1" applyBorder="1" applyAlignment="1">
      <alignment horizontal="right" vertical="center" indent="1"/>
    </xf>
    <xf numFmtId="0" fontId="48" fillId="27" borderId="79" xfId="0" applyFont="1" applyFill="1" applyBorder="1" applyAlignment="1">
      <alignment horizontal="right" vertical="center" indent="1"/>
    </xf>
    <xf numFmtId="0" fontId="48" fillId="27" borderId="95" xfId="0" applyFont="1" applyFill="1" applyBorder="1" applyAlignment="1">
      <alignment horizontal="right" vertical="center" indent="1"/>
    </xf>
    <xf numFmtId="0" fontId="112" fillId="4" borderId="76" xfId="0" applyFont="1" applyFill="1" applyBorder="1" applyAlignment="1">
      <alignment horizontal="right" vertical="center" indent="1"/>
    </xf>
    <xf numFmtId="0" fontId="112" fillId="4" borderId="31" xfId="0" applyFont="1" applyFill="1" applyBorder="1" applyAlignment="1">
      <alignment horizontal="right" vertical="center" indent="1"/>
    </xf>
    <xf numFmtId="0" fontId="116" fillId="24" borderId="76" xfId="0" applyFont="1" applyFill="1" applyBorder="1" applyAlignment="1">
      <alignment horizontal="right" vertical="center" indent="1"/>
    </xf>
    <xf numFmtId="0" fontId="116" fillId="24" borderId="31" xfId="0" applyFont="1" applyFill="1" applyBorder="1" applyAlignment="1">
      <alignment horizontal="right" vertical="center" indent="1"/>
    </xf>
    <xf numFmtId="0" fontId="112" fillId="24" borderId="92" xfId="0" applyFont="1" applyFill="1" applyBorder="1" applyAlignment="1">
      <alignment horizontal="right" vertical="center" indent="1"/>
    </xf>
    <xf numFmtId="0" fontId="112" fillId="24" borderId="93" xfId="0" applyFont="1" applyFill="1" applyBorder="1" applyAlignment="1">
      <alignment horizontal="right" vertical="center" indent="1"/>
    </xf>
    <xf numFmtId="0" fontId="48" fillId="26" borderId="79" xfId="0" applyFont="1" applyFill="1" applyBorder="1" applyAlignment="1">
      <alignment horizontal="center" vertical="center"/>
    </xf>
    <xf numFmtId="0" fontId="48" fillId="26" borderId="130" xfId="0" applyFont="1" applyFill="1" applyBorder="1" applyAlignment="1">
      <alignment horizontal="center" vertical="center"/>
    </xf>
    <xf numFmtId="0" fontId="65" fillId="26" borderId="81" xfId="0" applyFont="1" applyFill="1" applyBorder="1" applyAlignment="1">
      <alignment horizontal="center" vertical="center" wrapText="1"/>
    </xf>
    <xf numFmtId="0" fontId="65" fillId="26" borderId="96" xfId="0" applyFont="1" applyFill="1" applyBorder="1" applyAlignment="1">
      <alignment horizontal="center" vertical="center" wrapText="1"/>
    </xf>
    <xf numFmtId="0" fontId="65" fillId="26" borderId="95" xfId="0" applyFont="1" applyFill="1" applyBorder="1" applyAlignment="1">
      <alignment horizontal="center" vertical="center" wrapText="1"/>
    </xf>
    <xf numFmtId="0" fontId="65" fillId="26" borderId="67" xfId="0" applyFont="1" applyFill="1" applyBorder="1" applyAlignment="1">
      <alignment horizontal="center" vertical="center"/>
    </xf>
    <xf numFmtId="0" fontId="65" fillId="26" borderId="70" xfId="0" applyFont="1" applyFill="1" applyBorder="1" applyAlignment="1">
      <alignment horizontal="center" vertical="center"/>
    </xf>
    <xf numFmtId="0" fontId="65" fillId="26" borderId="27" xfId="0" applyFont="1" applyFill="1" applyBorder="1" applyAlignment="1">
      <alignment horizontal="center" vertical="center"/>
    </xf>
    <xf numFmtId="0" fontId="65" fillId="26" borderId="29" xfId="0" applyFont="1" applyFill="1" applyBorder="1" applyAlignment="1">
      <alignment horizontal="center" vertical="center"/>
    </xf>
    <xf numFmtId="0" fontId="116" fillId="4" borderId="76" xfId="0" applyFont="1" applyFill="1" applyBorder="1" applyAlignment="1">
      <alignment horizontal="right" vertical="center" indent="1"/>
    </xf>
    <xf numFmtId="0" fontId="116" fillId="4" borderId="31" xfId="0" applyFont="1" applyFill="1" applyBorder="1" applyAlignment="1">
      <alignment horizontal="right" vertical="center" indent="1"/>
    </xf>
    <xf numFmtId="0" fontId="112" fillId="4" borderId="92" xfId="0" applyFont="1" applyFill="1" applyBorder="1" applyAlignment="1">
      <alignment horizontal="right" vertical="center" indent="1"/>
    </xf>
    <xf numFmtId="0" fontId="112" fillId="4" borderId="93" xfId="0" applyFont="1" applyFill="1" applyBorder="1" applyAlignment="1">
      <alignment horizontal="right" vertical="center" indent="1"/>
    </xf>
    <xf numFmtId="0" fontId="134" fillId="24" borderId="16" xfId="0" applyFont="1" applyFill="1" applyBorder="1" applyAlignment="1">
      <alignment horizontal="right" vertical="center" indent="1"/>
    </xf>
    <xf numFmtId="0" fontId="136" fillId="24" borderId="28" xfId="0" applyFont="1" applyFill="1" applyBorder="1" applyAlignment="1">
      <alignment horizontal="right" indent="1"/>
    </xf>
    <xf numFmtId="0" fontId="42" fillId="26" borderId="79" xfId="0" applyFont="1" applyFill="1" applyBorder="1" applyAlignment="1">
      <alignment horizontal="center" vertical="center"/>
    </xf>
    <xf numFmtId="0" fontId="42" fillId="26" borderId="130" xfId="0" applyFont="1" applyFill="1" applyBorder="1" applyAlignment="1">
      <alignment horizontal="center" vertical="center"/>
    </xf>
    <xf numFmtId="0" fontId="46" fillId="26" borderId="67" xfId="0" applyFont="1" applyFill="1" applyBorder="1" applyAlignment="1">
      <alignment horizontal="center" vertical="center"/>
    </xf>
    <xf numFmtId="0" fontId="46" fillId="26" borderId="70" xfId="0" applyFont="1" applyFill="1" applyBorder="1" applyAlignment="1">
      <alignment horizontal="center" vertical="center"/>
    </xf>
    <xf numFmtId="0" fontId="46" fillId="26" borderId="27" xfId="0" applyFont="1" applyFill="1" applyBorder="1" applyAlignment="1">
      <alignment horizontal="center" vertical="center"/>
    </xf>
    <xf numFmtId="0" fontId="46" fillId="26" borderId="29" xfId="0" applyFont="1" applyFill="1" applyBorder="1" applyAlignment="1">
      <alignment horizontal="center" vertical="center"/>
    </xf>
    <xf numFmtId="0" fontId="144" fillId="27" borderId="45" xfId="0" applyFont="1" applyFill="1" applyBorder="1" applyAlignment="1">
      <alignment horizontal="right" vertical="center" indent="1"/>
    </xf>
    <xf numFmtId="0" fontId="144" fillId="27" borderId="59" xfId="0" applyFont="1" applyFill="1" applyBorder="1" applyAlignment="1">
      <alignment horizontal="right" vertical="center" indent="1"/>
    </xf>
    <xf numFmtId="0" fontId="136" fillId="24" borderId="28" xfId="0" applyFont="1" applyFill="1" applyBorder="1" applyAlignment="1">
      <alignment horizontal="right" vertical="center" indent="1"/>
    </xf>
    <xf numFmtId="0" fontId="70" fillId="24" borderId="76" xfId="0" applyFont="1" applyFill="1" applyBorder="1" applyAlignment="1">
      <alignment horizontal="right" vertical="center" indent="2"/>
    </xf>
    <xf numFmtId="0" fontId="70" fillId="24" borderId="31" xfId="0" applyFont="1" applyFill="1" applyBorder="1" applyAlignment="1">
      <alignment horizontal="right" vertical="center" indent="2"/>
    </xf>
    <xf numFmtId="0" fontId="70" fillId="24" borderId="92" xfId="0" applyFont="1" applyFill="1" applyBorder="1" applyAlignment="1">
      <alignment horizontal="right" vertical="center" indent="2"/>
    </xf>
    <xf numFmtId="0" fontId="70" fillId="24" borderId="93" xfId="0" applyFont="1" applyFill="1" applyBorder="1" applyAlignment="1">
      <alignment horizontal="right" vertical="center" indent="2"/>
    </xf>
    <xf numFmtId="0" fontId="65" fillId="27" borderId="79" xfId="0" applyFont="1" applyFill="1" applyBorder="1" applyAlignment="1">
      <alignment horizontal="right" vertical="center" indent="1"/>
    </xf>
    <xf numFmtId="0" fontId="65" fillId="27" borderId="95" xfId="0" applyFont="1" applyFill="1" applyBorder="1" applyAlignment="1">
      <alignment horizontal="right" vertical="center" indent="1"/>
    </xf>
    <xf numFmtId="0" fontId="65" fillId="30" borderId="45" xfId="0" applyFont="1" applyFill="1" applyBorder="1" applyAlignment="1">
      <alignment horizontal="right" vertical="center" indent="1"/>
    </xf>
    <xf numFmtId="0" fontId="65" fillId="30" borderId="59" xfId="0" applyFont="1" applyFill="1" applyBorder="1" applyAlignment="1">
      <alignment horizontal="right" vertical="center" indent="1"/>
    </xf>
    <xf numFmtId="0" fontId="65" fillId="32" borderId="45" xfId="0" applyFont="1" applyFill="1" applyBorder="1" applyAlignment="1">
      <alignment horizontal="right" vertical="center" indent="1"/>
    </xf>
    <xf numFmtId="0" fontId="65" fillId="32" borderId="59" xfId="0" applyFont="1" applyFill="1" applyBorder="1" applyAlignment="1">
      <alignment horizontal="right" vertical="center" indent="1"/>
    </xf>
    <xf numFmtId="0" fontId="65" fillId="27" borderId="45" xfId="0" applyFont="1" applyFill="1" applyBorder="1" applyAlignment="1">
      <alignment horizontal="right" vertical="center" indent="1"/>
    </xf>
    <xf numFmtId="0" fontId="65" fillId="27" borderId="59" xfId="0" applyFont="1" applyFill="1" applyBorder="1" applyAlignment="1">
      <alignment horizontal="right" vertical="center" indent="1"/>
    </xf>
    <xf numFmtId="3" fontId="69" fillId="24" borderId="69" xfId="0" applyNumberFormat="1" applyFont="1" applyFill="1" applyBorder="1" applyAlignment="1">
      <alignment horizontal="right" vertical="center" indent="1"/>
    </xf>
    <xf numFmtId="0" fontId="6" fillId="3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 readingOrder="2"/>
    </xf>
    <xf numFmtId="0" fontId="0" fillId="4" borderId="0" xfId="0" applyFill="1" applyAlignment="1">
      <alignment horizontal="center"/>
    </xf>
    <xf numFmtId="0" fontId="134" fillId="24" borderId="14" xfId="0" applyFont="1" applyFill="1" applyBorder="1" applyAlignment="1">
      <alignment horizontal="right" vertical="center" indent="1"/>
    </xf>
    <xf numFmtId="0" fontId="135" fillId="25" borderId="9" xfId="0" applyFont="1" applyFill="1" applyBorder="1" applyAlignment="1">
      <alignment horizontal="center" vertical="center"/>
    </xf>
    <xf numFmtId="0" fontId="135" fillId="25" borderId="14" xfId="0" applyFont="1" applyFill="1" applyBorder="1" applyAlignment="1">
      <alignment horizontal="center" vertical="center"/>
    </xf>
    <xf numFmtId="0" fontId="135" fillId="25" borderId="8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163" fillId="2" borderId="0" xfId="0" applyFont="1" applyFill="1" applyAlignment="1">
      <alignment horizontal="right" readingOrder="2"/>
    </xf>
    <xf numFmtId="0" fontId="133" fillId="11" borderId="0" xfId="0" applyFont="1" applyFill="1" applyAlignment="1">
      <alignment horizontal="left"/>
    </xf>
    <xf numFmtId="0" fontId="4" fillId="3" borderId="0" xfId="0" applyFont="1" applyFill="1" applyAlignment="1">
      <alignment horizontal="right" readingOrder="2"/>
    </xf>
    <xf numFmtId="0" fontId="106" fillId="10" borderId="0" xfId="0" applyFont="1" applyFill="1" applyAlignment="1">
      <alignment horizontal="center"/>
    </xf>
    <xf numFmtId="0" fontId="132" fillId="3" borderId="0" xfId="0" applyFont="1" applyFill="1" applyAlignment="1">
      <alignment horizontal="left"/>
    </xf>
    <xf numFmtId="0" fontId="132" fillId="3" borderId="0" xfId="0" applyFont="1" applyFill="1" applyAlignment="1">
      <alignment horizontal="right"/>
    </xf>
    <xf numFmtId="0" fontId="162" fillId="11" borderId="8" xfId="0" applyFont="1" applyFill="1" applyBorder="1" applyAlignment="1">
      <alignment horizontal="left"/>
    </xf>
    <xf numFmtId="0" fontId="162" fillId="11" borderId="2" xfId="0" applyFont="1" applyFill="1" applyBorder="1" applyAlignment="1">
      <alignment horizontal="left"/>
    </xf>
    <xf numFmtId="0" fontId="133" fillId="11" borderId="8" xfId="0" applyFont="1" applyFill="1" applyBorder="1" applyAlignment="1">
      <alignment horizontal="left"/>
    </xf>
    <xf numFmtId="0" fontId="133" fillId="11" borderId="2" xfId="0" applyFont="1" applyFill="1" applyBorder="1" applyAlignment="1">
      <alignment horizontal="left"/>
    </xf>
    <xf numFmtId="0" fontId="112" fillId="0" borderId="10" xfId="0" applyFont="1" applyFill="1" applyBorder="1" applyAlignment="1">
      <alignment horizontal="right" vertical="center" indent="2"/>
    </xf>
    <xf numFmtId="0" fontId="112" fillId="0" borderId="47" xfId="0" applyFont="1" applyFill="1" applyBorder="1" applyAlignment="1">
      <alignment horizontal="right" vertical="center" indent="2"/>
    </xf>
    <xf numFmtId="0" fontId="48" fillId="27" borderId="49" xfId="0" applyFont="1" applyFill="1" applyBorder="1" applyAlignment="1">
      <alignment horizontal="right" vertical="center" indent="1"/>
    </xf>
    <xf numFmtId="0" fontId="133" fillId="11" borderId="14" xfId="0" applyFont="1" applyFill="1" applyBorder="1" applyAlignment="1">
      <alignment horizontal="left"/>
    </xf>
    <xf numFmtId="0" fontId="65" fillId="29" borderId="81" xfId="0" applyFont="1" applyFill="1" applyBorder="1" applyAlignment="1">
      <alignment horizontal="center" vertical="center" wrapText="1"/>
    </xf>
    <xf numFmtId="0" fontId="65" fillId="29" borderId="32" xfId="0" applyFont="1" applyFill="1" applyBorder="1" applyAlignment="1">
      <alignment horizontal="center" vertical="center"/>
    </xf>
    <xf numFmtId="0" fontId="136" fillId="24" borderId="0" xfId="0" applyFont="1" applyFill="1" applyBorder="1" applyAlignment="1">
      <alignment horizontal="center"/>
    </xf>
    <xf numFmtId="0" fontId="48" fillId="24" borderId="28" xfId="0" applyFont="1" applyFill="1" applyBorder="1" applyAlignment="1">
      <alignment horizontal="left" vertical="center" indent="2"/>
    </xf>
    <xf numFmtId="0" fontId="136" fillId="24" borderId="0" xfId="0" applyFont="1" applyFill="1" applyBorder="1" applyAlignment="1">
      <alignment horizontal="right" vertical="center" indent="1"/>
    </xf>
    <xf numFmtId="0" fontId="137" fillId="24" borderId="0" xfId="0" applyFont="1" applyFill="1" applyBorder="1" applyAlignment="1">
      <alignment horizontal="center" vertical="center"/>
    </xf>
    <xf numFmtId="0" fontId="167" fillId="11" borderId="0" xfId="0" applyFont="1" applyFill="1" applyBorder="1" applyAlignment="1">
      <alignment horizontal="center" vertical="center"/>
    </xf>
    <xf numFmtId="0" fontId="112" fillId="24" borderId="10" xfId="0" applyFont="1" applyFill="1" applyBorder="1" applyAlignment="1">
      <alignment horizontal="right" vertical="center" indent="1"/>
    </xf>
    <xf numFmtId="0" fontId="48" fillId="27" borderId="32" xfId="0" applyFont="1" applyFill="1" applyBorder="1" applyAlignment="1">
      <alignment horizontal="right" vertical="center" indent="1"/>
    </xf>
    <xf numFmtId="0" fontId="48" fillId="28" borderId="32" xfId="0" applyFont="1" applyFill="1" applyBorder="1" applyAlignment="1">
      <alignment horizontal="right" vertical="center" indent="1"/>
    </xf>
    <xf numFmtId="0" fontId="112" fillId="24" borderId="47" xfId="0" applyFont="1" applyFill="1" applyBorder="1" applyAlignment="1">
      <alignment horizontal="right" vertical="center" indent="1"/>
    </xf>
    <xf numFmtId="0" fontId="136" fillId="24" borderId="0" xfId="0" applyFont="1" applyFill="1" applyBorder="1" applyAlignment="1">
      <alignment horizontal="right" vertical="center" indent="1" readingOrder="2"/>
    </xf>
    <xf numFmtId="0" fontId="112" fillId="24" borderId="90" xfId="0" applyFont="1" applyFill="1" applyBorder="1" applyAlignment="1">
      <alignment horizontal="right" vertical="center" indent="1"/>
    </xf>
    <xf numFmtId="0" fontId="132" fillId="2" borderId="0" xfId="0" applyFont="1" applyFill="1" applyAlignment="1">
      <alignment horizontal="right"/>
    </xf>
    <xf numFmtId="0" fontId="112" fillId="24" borderId="97" xfId="0" applyFont="1" applyFill="1" applyBorder="1" applyAlignment="1">
      <alignment horizontal="right" vertical="center" indent="1"/>
    </xf>
    <xf numFmtId="0" fontId="48" fillId="24" borderId="28" xfId="0" applyFont="1" applyFill="1" applyBorder="1" applyAlignment="1">
      <alignment horizontal="left" indent="2"/>
    </xf>
    <xf numFmtId="0" fontId="136" fillId="24" borderId="0" xfId="0" applyFont="1" applyFill="1" applyBorder="1" applyAlignment="1">
      <alignment horizontal="right" indent="1"/>
    </xf>
    <xf numFmtId="1" fontId="151" fillId="6" borderId="12" xfId="0" applyNumberFormat="1" applyFont="1" applyFill="1" applyBorder="1" applyAlignment="1">
      <alignment horizontal="center" vertical="center" wrapText="1"/>
    </xf>
    <xf numFmtId="1" fontId="151" fillId="6" borderId="15" xfId="0" applyNumberFormat="1" applyFont="1" applyFill="1" applyBorder="1" applyAlignment="1">
      <alignment horizontal="center" vertical="center" wrapText="1"/>
    </xf>
    <xf numFmtId="1" fontId="151" fillId="6" borderId="13" xfId="0" applyNumberFormat="1" applyFont="1" applyFill="1" applyBorder="1" applyAlignment="1">
      <alignment horizontal="center" vertical="center" wrapText="1"/>
    </xf>
    <xf numFmtId="1" fontId="25" fillId="6" borderId="9" xfId="0" applyNumberFormat="1" applyFont="1" applyFill="1" applyBorder="1" applyAlignment="1">
      <alignment horizontal="center" vertical="center" wrapText="1"/>
    </xf>
    <xf numFmtId="1" fontId="25" fillId="6" borderId="8" xfId="0" applyNumberFormat="1" applyFont="1" applyFill="1" applyBorder="1" applyAlignment="1">
      <alignment horizontal="center" vertical="center" wrapText="1"/>
    </xf>
    <xf numFmtId="1" fontId="25" fillId="6" borderId="14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 wrapText="1"/>
    </xf>
    <xf numFmtId="0" fontId="11" fillId="6" borderId="101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02" xfId="0" applyFont="1" applyFill="1" applyBorder="1" applyAlignment="1">
      <alignment horizontal="center" vertical="center" wrapText="1"/>
    </xf>
    <xf numFmtId="1" fontId="15" fillId="7" borderId="4" xfId="0" applyNumberFormat="1" applyFont="1" applyFill="1" applyBorder="1" applyAlignment="1">
      <alignment horizontal="center" vertical="center" wrapText="1"/>
    </xf>
    <xf numFmtId="1" fontId="15" fillId="7" borderId="15" xfId="0" applyNumberFormat="1" applyFont="1" applyFill="1" applyBorder="1" applyAlignment="1">
      <alignment horizontal="center" vertical="center" wrapText="1"/>
    </xf>
    <xf numFmtId="1" fontId="15" fillId="7" borderId="5" xfId="0" applyNumberFormat="1" applyFont="1" applyFill="1" applyBorder="1" applyAlignment="1">
      <alignment horizontal="center" vertical="center" wrapText="1"/>
    </xf>
    <xf numFmtId="1" fontId="15" fillId="7" borderId="9" xfId="0" applyNumberFormat="1" applyFont="1" applyFill="1" applyBorder="1" applyAlignment="1">
      <alignment horizontal="center" vertical="center" wrapText="1"/>
    </xf>
    <xf numFmtId="1" fontId="15" fillId="7" borderId="14" xfId="0" applyNumberFormat="1" applyFont="1" applyFill="1" applyBorder="1" applyAlignment="1">
      <alignment horizontal="center" vertical="center" wrapText="1"/>
    </xf>
    <xf numFmtId="1" fontId="15" fillId="7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14" fillId="7" borderId="15" xfId="0" applyFont="1" applyFill="1" applyBorder="1" applyAlignment="1">
      <alignment horizontal="center" vertical="center"/>
    </xf>
    <xf numFmtId="0" fontId="14" fillId="7" borderId="11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89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0" fillId="3" borderId="99" xfId="0" applyFont="1" applyFill="1" applyBorder="1" applyAlignment="1">
      <alignment horizontal="center" vertical="center" wrapText="1" readingOrder="2"/>
    </xf>
    <xf numFmtId="0" fontId="120" fillId="3" borderId="100" xfId="0" applyFont="1" applyFill="1" applyBorder="1" applyAlignment="1">
      <alignment horizontal="center" vertical="center" wrapText="1" readingOrder="2"/>
    </xf>
    <xf numFmtId="0" fontId="127" fillId="3" borderId="64" xfId="0" applyFont="1" applyFill="1" applyBorder="1" applyAlignment="1">
      <alignment horizontal="center" vertical="center" wrapText="1" readingOrder="2"/>
    </xf>
    <xf numFmtId="0" fontId="127" fillId="3" borderId="65" xfId="0" applyFont="1" applyFill="1" applyBorder="1" applyAlignment="1">
      <alignment horizontal="center" vertical="center" wrapText="1" readingOrder="2"/>
    </xf>
    <xf numFmtId="0" fontId="128" fillId="0" borderId="66" xfId="0" applyFont="1" applyBorder="1" applyAlignment="1">
      <alignment horizontal="center"/>
    </xf>
    <xf numFmtId="0" fontId="120" fillId="3" borderId="64" xfId="0" applyFont="1" applyFill="1" applyBorder="1" applyAlignment="1">
      <alignment horizontal="center" vertical="center" wrapText="1" readingOrder="2"/>
    </xf>
    <xf numFmtId="0" fontId="120" fillId="3" borderId="65" xfId="0" applyFont="1" applyFill="1" applyBorder="1" applyAlignment="1">
      <alignment horizontal="center" vertical="center" wrapText="1" readingOrder="2"/>
    </xf>
    <xf numFmtId="0" fontId="119" fillId="3" borderId="64" xfId="0" applyFont="1" applyFill="1" applyBorder="1" applyAlignment="1">
      <alignment horizontal="center" vertical="center" wrapText="1" readingOrder="2"/>
    </xf>
    <xf numFmtId="0" fontId="119" fillId="3" borderId="65" xfId="0" applyFont="1" applyFill="1" applyBorder="1" applyAlignment="1">
      <alignment horizontal="center" vertical="center" wrapText="1" readingOrder="2"/>
    </xf>
    <xf numFmtId="0" fontId="154" fillId="0" borderId="64" xfId="0" applyFont="1" applyBorder="1" applyAlignment="1">
      <alignment horizontal="center" vertical="center" wrapText="1" readingOrder="2"/>
    </xf>
    <xf numFmtId="0" fontId="154" fillId="0" borderId="65" xfId="0" applyFont="1" applyBorder="1" applyAlignment="1">
      <alignment horizontal="center" vertical="center" wrapText="1" readingOrder="2"/>
    </xf>
    <xf numFmtId="165" fontId="154" fillId="0" borderId="64" xfId="0" applyNumberFormat="1" applyFont="1" applyBorder="1" applyAlignment="1">
      <alignment horizontal="center" vertical="center" wrapText="1" readingOrder="2"/>
    </xf>
    <xf numFmtId="165" fontId="154" fillId="0" borderId="65" xfId="0" applyNumberFormat="1" applyFont="1" applyBorder="1" applyAlignment="1">
      <alignment horizontal="center" vertical="center" wrapText="1" readingOrder="2"/>
    </xf>
    <xf numFmtId="164" fontId="154" fillId="0" borderId="64" xfId="0" applyNumberFormat="1" applyFont="1" applyBorder="1" applyAlignment="1">
      <alignment horizontal="center" vertical="center" wrapText="1" readingOrder="1"/>
    </xf>
    <xf numFmtId="164" fontId="154" fillId="0" borderId="65" xfId="0" applyNumberFormat="1" applyFont="1" applyBorder="1" applyAlignment="1">
      <alignment horizontal="center" vertical="center" wrapText="1" readingOrder="1"/>
    </xf>
    <xf numFmtId="0" fontId="185" fillId="0" borderId="106" xfId="0" applyFont="1" applyFill="1" applyBorder="1" applyAlignment="1">
      <alignment horizontal="right" vertical="center" wrapText="1" readingOrder="2"/>
    </xf>
    <xf numFmtId="164" fontId="154" fillId="0" borderId="64" xfId="0" applyNumberFormat="1" applyFont="1" applyBorder="1" applyAlignment="1">
      <alignment horizontal="center" vertical="center" wrapText="1" readingOrder="2"/>
    </xf>
    <xf numFmtId="164" fontId="154" fillId="0" borderId="65" xfId="0" applyNumberFormat="1" applyFont="1" applyBorder="1" applyAlignment="1">
      <alignment horizontal="center" vertical="center" wrapText="1" readingOrder="2"/>
    </xf>
    <xf numFmtId="0" fontId="155" fillId="0" borderId="64" xfId="0" applyFont="1" applyBorder="1" applyAlignment="1">
      <alignment horizontal="center" vertical="center" wrapText="1" readingOrder="2"/>
    </xf>
    <xf numFmtId="0" fontId="155" fillId="0" borderId="65" xfId="0" applyFont="1" applyBorder="1" applyAlignment="1">
      <alignment horizontal="center" vertical="center" wrapText="1" readingOrder="2"/>
    </xf>
    <xf numFmtId="0" fontId="147" fillId="3" borderId="0" xfId="0" applyFont="1" applyFill="1" applyAlignment="1">
      <alignment horizontal="center" vertical="center"/>
    </xf>
    <xf numFmtId="0" fontId="49" fillId="3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0" fontId="38" fillId="4" borderId="0" xfId="0" applyFont="1" applyFill="1" applyAlignment="1">
      <alignment horizontal="center" vertical="center"/>
    </xf>
    <xf numFmtId="0" fontId="166" fillId="0" borderId="0" xfId="0" applyFont="1" applyAlignment="1">
      <alignment horizontal="left" vertical="top" wrapText="1"/>
    </xf>
    <xf numFmtId="0" fontId="86" fillId="5" borderId="0" xfId="0" applyFont="1" applyFill="1" applyAlignment="1">
      <alignment horizontal="center" vertical="center"/>
    </xf>
    <xf numFmtId="0" fontId="88" fillId="3" borderId="38" xfId="0" applyFont="1" applyFill="1" applyBorder="1" applyAlignment="1">
      <alignment horizontal="center" vertical="center" wrapText="1"/>
    </xf>
    <xf numFmtId="0" fontId="88" fillId="3" borderId="50" xfId="0" applyFont="1" applyFill="1" applyBorder="1" applyAlignment="1">
      <alignment horizontal="center" vertical="center"/>
    </xf>
    <xf numFmtId="0" fontId="85" fillId="3" borderId="43" xfId="0" applyFont="1" applyFill="1" applyBorder="1" applyAlignment="1">
      <alignment horizontal="center"/>
    </xf>
    <xf numFmtId="0" fontId="85" fillId="3" borderId="44" xfId="0" applyFont="1" applyFill="1" applyBorder="1" applyAlignment="1">
      <alignment horizontal="center"/>
    </xf>
    <xf numFmtId="0" fontId="86" fillId="3" borderId="0" xfId="0" applyFont="1" applyFill="1" applyAlignment="1">
      <alignment horizontal="center" vertical="center"/>
    </xf>
    <xf numFmtId="0" fontId="87" fillId="0" borderId="69" xfId="0" applyFont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4" fillId="15" borderId="37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2" fillId="15" borderId="57" xfId="0" applyFont="1" applyFill="1" applyBorder="1" applyAlignment="1">
      <alignment horizontal="center" vertical="center"/>
    </xf>
    <xf numFmtId="0" fontId="2" fillId="15" borderId="36" xfId="0" applyFont="1" applyFill="1" applyBorder="1" applyAlignment="1">
      <alignment horizontal="center" vertical="center"/>
    </xf>
    <xf numFmtId="0" fontId="84" fillId="8" borderId="33" xfId="0" applyFont="1" applyFill="1" applyBorder="1" applyAlignment="1">
      <alignment horizontal="center" vertical="center"/>
    </xf>
    <xf numFmtId="0" fontId="104" fillId="18" borderId="0" xfId="0" applyFont="1" applyFill="1" applyAlignment="1">
      <alignment horizontal="center" vertical="center"/>
    </xf>
    <xf numFmtId="0" fontId="98" fillId="4" borderId="0" xfId="0" applyFont="1" applyFill="1" applyBorder="1" applyAlignment="1">
      <alignment horizontal="left" wrapText="1"/>
    </xf>
    <xf numFmtId="0" fontId="99" fillId="4" borderId="0" xfId="0" applyFont="1" applyFill="1" applyBorder="1" applyAlignment="1">
      <alignment horizontal="left"/>
    </xf>
    <xf numFmtId="0" fontId="102" fillId="20" borderId="9" xfId="0" applyFont="1" applyFill="1" applyBorder="1" applyAlignment="1">
      <alignment horizontal="center" vertical="center"/>
    </xf>
    <xf numFmtId="0" fontId="102" fillId="20" borderId="8" xfId="0" applyFont="1" applyFill="1" applyBorder="1" applyAlignment="1">
      <alignment horizontal="center" vertical="center"/>
    </xf>
    <xf numFmtId="0" fontId="100" fillId="19" borderId="0" xfId="0" applyFont="1" applyFill="1" applyAlignment="1">
      <alignment horizontal="center" vertical="center" wrapText="1"/>
    </xf>
    <xf numFmtId="0" fontId="114" fillId="19" borderId="60" xfId="0" applyFont="1" applyFill="1" applyBorder="1" applyAlignment="1">
      <alignment horizontal="center" vertical="center"/>
    </xf>
    <xf numFmtId="0" fontId="114" fillId="19" borderId="61" xfId="0" applyFont="1" applyFill="1" applyBorder="1" applyAlignment="1">
      <alignment horizontal="center" vertical="center"/>
    </xf>
    <xf numFmtId="0" fontId="114" fillId="19" borderId="62" xfId="0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0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106" fillId="4" borderId="25" xfId="0" applyFont="1" applyFill="1" applyBorder="1" applyAlignment="1">
      <alignment horizontal="center" vertical="center"/>
    </xf>
    <xf numFmtId="0" fontId="106" fillId="4" borderId="0" xfId="0" applyFont="1" applyFill="1" applyBorder="1" applyAlignment="1">
      <alignment horizontal="center" vertical="center"/>
    </xf>
    <xf numFmtId="0" fontId="106" fillId="4" borderId="26" xfId="0" applyFont="1" applyFill="1" applyBorder="1" applyAlignment="1">
      <alignment horizontal="center" vertical="center"/>
    </xf>
    <xf numFmtId="0" fontId="106" fillId="4" borderId="55" xfId="0" applyFont="1" applyFill="1" applyBorder="1" applyAlignment="1">
      <alignment horizontal="center" vertical="center" wrapText="1"/>
    </xf>
    <xf numFmtId="0" fontId="106" fillId="4" borderId="0" xfId="0" applyFont="1" applyFill="1" applyBorder="1" applyAlignment="1">
      <alignment horizontal="center" vertical="center" wrapText="1"/>
    </xf>
    <xf numFmtId="0" fontId="106" fillId="4" borderId="56" xfId="0" applyFont="1" applyFill="1" applyBorder="1" applyAlignment="1">
      <alignment horizontal="center" vertical="center" wrapText="1"/>
    </xf>
    <xf numFmtId="0" fontId="4" fillId="16" borderId="55" xfId="0" applyFont="1" applyFill="1" applyBorder="1" applyAlignment="1">
      <alignment horizontal="center" vertical="center"/>
    </xf>
    <xf numFmtId="0" fontId="4" fillId="16" borderId="56" xfId="0" applyFont="1" applyFill="1" applyBorder="1" applyAlignment="1">
      <alignment horizontal="center" vertical="center"/>
    </xf>
    <xf numFmtId="0" fontId="197" fillId="16" borderId="0" xfId="0" applyFont="1" applyFill="1" applyBorder="1" applyAlignment="1">
      <alignment horizontal="left" vertical="center"/>
    </xf>
    <xf numFmtId="165" fontId="197" fillId="16" borderId="0" xfId="0" applyNumberFormat="1" applyFont="1" applyFill="1" applyBorder="1" applyAlignment="1">
      <alignment horizontal="center" vertical="center"/>
    </xf>
    <xf numFmtId="164" fontId="197" fillId="16" borderId="0" xfId="1" applyNumberFormat="1" applyFont="1" applyFill="1" applyBorder="1" applyAlignment="1">
      <alignment horizontal="center" vertical="center"/>
    </xf>
  </cellXfs>
  <cellStyles count="4">
    <cellStyle name="Milliers" xfId="2" builtinId="3"/>
    <cellStyle name="Normal" xfId="0" builtinId="0"/>
    <cellStyle name="Normal_BDM REALISE HABIB+stir fuel et gaz fuel a fin mois+gpl" xfId="3"/>
    <cellStyle name="Pourcentage" xfId="1" builtinId="5"/>
  </cellStyles>
  <dxfs count="0"/>
  <tableStyles count="0" defaultTableStyle="TableStyleMedium9" defaultPivotStyle="PivotStyleLight16"/>
  <colors>
    <mruColors>
      <color rgb="FF66FF66"/>
      <color rgb="FFFF0000"/>
      <color rgb="FF365709"/>
      <color rgb="FFCCFFFF"/>
      <color rgb="FFBAE18F"/>
      <color rgb="FF3D8828"/>
      <color rgb="FFFF99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0"/>
      <c:rotY val="0"/>
      <c:perspective val="30"/>
    </c:view3D>
    <c:plotArea>
      <c:layout>
        <c:manualLayout>
          <c:layoutTarget val="inner"/>
          <c:xMode val="edge"/>
          <c:yMode val="edge"/>
          <c:x val="0.11484089260272627"/>
          <c:y val="0.15459505808786403"/>
          <c:w val="0.84956039282429807"/>
          <c:h val="0.49860777362990294"/>
        </c:manualLayout>
      </c:layout>
      <c:bar3DChart>
        <c:barDir val="col"/>
        <c:grouping val="clustered"/>
        <c:ser>
          <c:idx val="0"/>
          <c:order val="0"/>
          <c:tx>
            <c:strRef>
              <c:f>Mines!$M$12</c:f>
              <c:strCache>
                <c:ptCount val="1"/>
                <c:pt idx="0">
                  <c:v>رقم المعاملات الاجمالي </c:v>
                </c:pt>
              </c:strCache>
            </c:strRef>
          </c:tx>
          <c:cat>
            <c:strRef>
              <c:f>Mines!$K$5:$L$5</c:f>
              <c:strCache>
                <c:ptCount val="2"/>
                <c:pt idx="0">
                  <c:v>8 اشهر 2013</c:v>
                </c:pt>
                <c:pt idx="1">
                  <c:v>8 اشهر 2012</c:v>
                </c:pt>
              </c:strCache>
            </c:strRef>
          </c:cat>
          <c:val>
            <c:numRef>
              <c:f>Mines!$K$12:$L$12</c:f>
              <c:numCache>
                <c:formatCode>0</c:formatCode>
                <c:ptCount val="2"/>
                <c:pt idx="0">
                  <c:v>1142.4263592375</c:v>
                </c:pt>
                <c:pt idx="1">
                  <c:v>1187.2934640000001</c:v>
                </c:pt>
              </c:numCache>
            </c:numRef>
          </c:val>
        </c:ser>
        <c:ser>
          <c:idx val="1"/>
          <c:order val="1"/>
          <c:tx>
            <c:strRef>
              <c:f>Mines!$M$13</c:f>
              <c:strCache>
                <c:ptCount val="1"/>
                <c:pt idx="0">
                  <c:v>رقم معاملات التصدير </c:v>
                </c:pt>
              </c:strCache>
            </c:strRef>
          </c:tx>
          <c:dLbls>
            <c:dLbl>
              <c:idx val="0"/>
              <c:layout>
                <c:manualLayout>
                  <c:x val="1.4414414414414415E-2"/>
                  <c:y val="0"/>
                </c:manualLayout>
              </c:layout>
              <c:showVal val="1"/>
            </c:dLbl>
            <c:showVal val="1"/>
          </c:dLbls>
          <c:cat>
            <c:strRef>
              <c:f>Mines!$K$5:$L$5</c:f>
              <c:strCache>
                <c:ptCount val="2"/>
                <c:pt idx="0">
                  <c:v>8 اشهر 2013</c:v>
                </c:pt>
                <c:pt idx="1">
                  <c:v>8 اشهر 2012</c:v>
                </c:pt>
              </c:strCache>
            </c:strRef>
          </c:cat>
          <c:val>
            <c:numRef>
              <c:f>Mines!$K$13:$L$13</c:f>
              <c:numCache>
                <c:formatCode>0</c:formatCode>
                <c:ptCount val="2"/>
                <c:pt idx="0">
                  <c:v>968.72806179600002</c:v>
                </c:pt>
                <c:pt idx="1">
                  <c:v>1001.5122239999999</c:v>
                </c:pt>
              </c:numCache>
            </c:numRef>
          </c:val>
        </c:ser>
        <c:dLbls>
          <c:showVal val="1"/>
        </c:dLbls>
        <c:gapWidth val="75"/>
        <c:shape val="cylinder"/>
        <c:axId val="120280192"/>
        <c:axId val="120281728"/>
        <c:axId val="0"/>
      </c:bar3DChart>
      <c:catAx>
        <c:axId val="1202801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0281728"/>
        <c:crosses val="autoZero"/>
        <c:auto val="1"/>
        <c:lblAlgn val="ctr"/>
        <c:lblOffset val="100"/>
      </c:catAx>
      <c:valAx>
        <c:axId val="120281728"/>
        <c:scaling>
          <c:orientation val="minMax"/>
        </c:scaling>
        <c:delete val="1"/>
        <c:axPos val="l"/>
        <c:numFmt formatCode="0" sourceLinked="1"/>
        <c:majorTickMark val="none"/>
        <c:tickLblPos val="none"/>
        <c:crossAx val="120280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4218668736609172E-2"/>
          <c:y val="0.81529688305224957"/>
          <c:w val="0.92880257041014269"/>
          <c:h val="9.6057972833078265E-2"/>
        </c:manualLayout>
      </c:layout>
    </c:legend>
    <c:plotVisOnly val="1"/>
  </c:chart>
  <c:printSettings>
    <c:headerFooter/>
    <c:pageMargins b="0.75000000000001343" l="0.70000000000000062" r="0.70000000000000062" t="0.7500000000000134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المبيعات المحلية لمشتقات الفسفاط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6505472766317434"/>
          <c:y val="7.0083233496916631E-3"/>
        </c:manualLayout>
      </c:layout>
    </c:title>
    <c:plotArea>
      <c:layout>
        <c:manualLayout>
          <c:layoutTarget val="inner"/>
          <c:xMode val="edge"/>
          <c:yMode val="edge"/>
          <c:x val="3.0555555555555582E-2"/>
          <c:y val="0.16559038400723883"/>
          <c:w val="0.88495603674540679"/>
          <c:h val="0.59594188138571069"/>
        </c:manualLayout>
      </c:layout>
      <c:barChart>
        <c:barDir val="col"/>
        <c:grouping val="clustered"/>
        <c:ser>
          <c:idx val="2"/>
          <c:order val="0"/>
          <c:tx>
            <c:strRef>
              <c:f>Mines!$O$147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Mines!$P$150:$Q$154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Mines!$O$150:$O$154</c:f>
              <c:numCache>
                <c:formatCode>#,##0.00</c:formatCode>
                <c:ptCount val="5"/>
                <c:pt idx="0" formatCode="#,##0">
                  <c:v>82.808000000000007</c:v>
                </c:pt>
                <c:pt idx="1">
                  <c:v>9.5719999999999992</c:v>
                </c:pt>
                <c:pt idx="2" formatCode="#,##0">
                  <c:v>31.696999999999999</c:v>
                </c:pt>
                <c:pt idx="3" formatCode="#,##0">
                  <c:v>15.685</c:v>
                </c:pt>
                <c:pt idx="4">
                  <c:v>4.1230000000000002</c:v>
                </c:pt>
              </c:numCache>
            </c:numRef>
          </c:val>
        </c:ser>
        <c:ser>
          <c:idx val="0"/>
          <c:order val="1"/>
          <c:tx>
            <c:strRef>
              <c:f>Mines!$N$147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cat>
            <c:strRef>
              <c:f>Mines!$P$150:$Q$154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Mines!$N$150:$N$154</c:f>
              <c:numCache>
                <c:formatCode>#,##0.00</c:formatCode>
                <c:ptCount val="5"/>
                <c:pt idx="0" formatCode="#,##0">
                  <c:v>73.105999999999995</c:v>
                </c:pt>
                <c:pt idx="1">
                  <c:v>11.289</c:v>
                </c:pt>
                <c:pt idx="2" formatCode="#,##0">
                  <c:v>42.652000000000001</c:v>
                </c:pt>
                <c:pt idx="3" formatCode="#,##0">
                  <c:v>16.302</c:v>
                </c:pt>
                <c:pt idx="4">
                  <c:v>2.4809999999999999</c:v>
                </c:pt>
              </c:numCache>
            </c:numRef>
          </c:val>
        </c:ser>
        <c:ser>
          <c:idx val="1"/>
          <c:order val="2"/>
          <c:tx>
            <c:strRef>
              <c:f>Mines!$M$147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cat>
            <c:strRef>
              <c:f>Mines!$P$150:$Q$154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Mines!$M$150:$M$154</c:f>
              <c:numCache>
                <c:formatCode>#,##0.00</c:formatCode>
                <c:ptCount val="5"/>
                <c:pt idx="0" formatCode="#,##0">
                  <c:v>81.28</c:v>
                </c:pt>
                <c:pt idx="1">
                  <c:v>10.019</c:v>
                </c:pt>
                <c:pt idx="2" formatCode="#,##0">
                  <c:v>32.454999999999998</c:v>
                </c:pt>
                <c:pt idx="3" formatCode="#,##0">
                  <c:v>17.334</c:v>
                </c:pt>
                <c:pt idx="4">
                  <c:v>2.4700000000000002</c:v>
                </c:pt>
              </c:numCache>
            </c:numRef>
          </c:val>
        </c:ser>
        <c:axId val="121444992"/>
        <c:axId val="121454976"/>
      </c:barChart>
      <c:catAx>
        <c:axId val="121444992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21454976"/>
        <c:crosses val="autoZero"/>
        <c:auto val="1"/>
        <c:lblAlgn val="ctr"/>
        <c:lblOffset val="100"/>
      </c:catAx>
      <c:valAx>
        <c:axId val="121454976"/>
        <c:scaling>
          <c:orientation val="minMax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91884896206156064"/>
              <c:y val="2.2684342357147735E-2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444992"/>
        <c:crosses val="autoZero"/>
        <c:crossBetween val="between"/>
        <c:majorUnit val="10"/>
      </c:valAx>
      <c:spPr>
        <a:solidFill>
          <a:schemeClr val="tx2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4245157371857432E-2"/>
          <c:y val="0.16315487125378497"/>
          <c:w val="0.34179075716801222"/>
          <c:h val="8.9109478999311528E-2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</c:chart>
  <c:spPr>
    <a:solidFill>
      <a:sysClr val="window" lastClr="FFFFFF">
        <a:lumMod val="95000"/>
      </a:sysClr>
    </a:solidFill>
    <a:ln w="19050">
      <a:solidFill>
        <a:schemeClr val="tx1"/>
      </a:solidFill>
    </a:ln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رقم</a:t>
            </a:r>
            <a:r>
              <a:rPr lang="ar-TN" sz="1400" baseline="0">
                <a:cs typeface="Traditional Arabic" pitchFamily="2" charset="-78"/>
              </a:rPr>
              <a:t> المعاملات الإجمالي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9371079301477354"/>
          <c:y val="9.2049957441153983E-3"/>
        </c:manualLayout>
      </c:layout>
    </c:title>
    <c:plotArea>
      <c:layout>
        <c:manualLayout>
          <c:layoutTarget val="inner"/>
          <c:xMode val="edge"/>
          <c:yMode val="edge"/>
          <c:x val="6.1649681833570474E-2"/>
          <c:y val="0.20494100470633692"/>
          <c:w val="0.8827292166146502"/>
          <c:h val="0.66913579008815871"/>
        </c:manualLayout>
      </c:layout>
      <c:barChart>
        <c:barDir val="col"/>
        <c:grouping val="clustered"/>
        <c:ser>
          <c:idx val="1"/>
          <c:order val="0"/>
          <c:tx>
            <c:strRef>
              <c:f>Mines!$P$117</c:f>
              <c:strCache>
                <c:ptCount val="1"/>
                <c:pt idx="0">
                  <c:v>رقم المعاملات الإجمالي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3.4371755883629597E-3"/>
                  <c:y val="-1.380519539670843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4371755883629792E-3"/>
                  <c:y val="-6.5912934253792542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3.3129195046969416E-4"/>
                  <c:y val="-7.9236972637774013E-3"/>
                </c:manualLayout>
              </c:layout>
              <c:dLblPos val="outEnd"/>
              <c:showVal val="1"/>
            </c:dLbl>
            <c:spPr>
              <a:solidFill>
                <a:schemeClr val="accent1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1100" b="1" baseline="0">
                    <a:solidFill>
                      <a:schemeClr val="tx1"/>
                    </a:solidFill>
                  </a:defRPr>
                </a:pPr>
                <a:endParaRPr lang="fr-FR"/>
              </a:p>
            </c:txPr>
            <c:dLblPos val="outEnd"/>
            <c:showVal val="1"/>
          </c:dLbls>
          <c:cat>
            <c:numRef>
              <c:f>Mines!$M$110:$O$110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2010</c:v>
                </c:pt>
              </c:numCache>
            </c:numRef>
          </c:cat>
          <c:val>
            <c:numRef>
              <c:f>Mines!$M$117:$O$117</c:f>
              <c:numCache>
                <c:formatCode>0</c:formatCode>
                <c:ptCount val="3"/>
                <c:pt idx="0">
                  <c:v>1142.4263592375</c:v>
                </c:pt>
                <c:pt idx="1">
                  <c:v>1187.2934640000001</c:v>
                </c:pt>
                <c:pt idx="2">
                  <c:v>1369.2211331999999</c:v>
                </c:pt>
              </c:numCache>
            </c:numRef>
          </c:val>
        </c:ser>
        <c:ser>
          <c:idx val="2"/>
          <c:order val="1"/>
          <c:tx>
            <c:strRef>
              <c:f>Mines!$P$118</c:f>
              <c:strCache>
                <c:ptCount val="1"/>
                <c:pt idx="0">
                  <c:v>رقم معاملات التصدير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1.9463272476655323E-2"/>
                  <c:y val="-1.0613595347066816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7268484907033466E-2"/>
                  <c:y val="-1.592039302059997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3.6897279505740885E-2"/>
                  <c:y val="-1.4159289404354736E-2"/>
                </c:manualLayout>
              </c:layout>
              <c:dLblPos val="outEnd"/>
              <c:showVal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dLblPos val="outEnd"/>
            <c:showVal val="1"/>
          </c:dLbls>
          <c:cat>
            <c:numRef>
              <c:f>Mines!$M$110:$O$110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2010</c:v>
                </c:pt>
              </c:numCache>
            </c:numRef>
          </c:cat>
          <c:val>
            <c:numRef>
              <c:f>Mines!$M$118:$O$118</c:f>
              <c:numCache>
                <c:formatCode>0</c:formatCode>
                <c:ptCount val="3"/>
                <c:pt idx="0">
                  <c:v>968.72806179600002</c:v>
                </c:pt>
                <c:pt idx="1">
                  <c:v>1001.5122239999999</c:v>
                </c:pt>
                <c:pt idx="2">
                  <c:v>1225.3193644</c:v>
                </c:pt>
              </c:numCache>
            </c:numRef>
          </c:val>
        </c:ser>
        <c:gapWidth val="451"/>
        <c:overlap val="1"/>
        <c:axId val="121481472"/>
        <c:axId val="121511936"/>
      </c:barChart>
      <c:catAx>
        <c:axId val="121481472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1511936"/>
        <c:crosses val="autoZero"/>
        <c:auto val="1"/>
        <c:lblAlgn val="ctr"/>
        <c:lblOffset val="100"/>
      </c:catAx>
      <c:valAx>
        <c:axId val="121511936"/>
        <c:scaling>
          <c:orientation val="minMax"/>
          <c:max val="160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دينارا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1.1790156878922221E-2"/>
              <c:y val="2.1544762838376212E-3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481472"/>
        <c:crosses val="autoZero"/>
        <c:crossBetween val="between"/>
      </c:valAx>
      <c:spPr>
        <a:solidFill>
          <a:schemeClr val="tx2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solidFill>
      <a:schemeClr val="bg1">
        <a:lumMod val="95000"/>
      </a:schemeClr>
    </a:solidFill>
    <a:ln w="19050">
      <a:solidFill>
        <a:schemeClr val="tx1"/>
      </a:solidFill>
    </a:ln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1.9534786412568174E-3"/>
          <c:y val="7.0492188476440482E-2"/>
          <c:w val="0.9674911559968048"/>
          <c:h val="0.62310317876932053"/>
        </c:manualLayout>
      </c:layout>
      <c:bar3DChart>
        <c:barDir val="col"/>
        <c:grouping val="clustered"/>
        <c:ser>
          <c:idx val="0"/>
          <c:order val="0"/>
          <c:tx>
            <c:strRef>
              <c:f>Mines!$K$82</c:f>
              <c:strCache>
                <c:ptCount val="1"/>
                <c:pt idx="0">
                  <c:v>8 اشهر 2013</c:v>
                </c:pt>
              </c:strCache>
            </c:strRef>
          </c:tx>
          <c:dLbls>
            <c:showVal val="1"/>
          </c:dLbls>
          <c:cat>
            <c:strRef>
              <c:f>Mines!$M$85:$M$89</c:f>
              <c:strCache>
                <c:ptCount val="5"/>
                <c:pt idx="0">
                  <c:v>الحامض الفسفوري 54%</c:v>
                </c:pt>
                <c:pt idx="1">
                  <c:v>ثاني فسفاط الأمونيا</c:v>
                </c:pt>
                <c:pt idx="2">
                  <c:v>ثاني فسفاط الكلس</c:v>
                </c:pt>
                <c:pt idx="3">
                  <c:v>ثلاثي فسفاط الرفيع</c:v>
                </c:pt>
                <c:pt idx="4">
                  <c:v>فسفاط السوديوم</c:v>
                </c:pt>
              </c:strCache>
            </c:strRef>
          </c:cat>
          <c:val>
            <c:numRef>
              <c:f>Mines!$K$85:$K$89</c:f>
              <c:numCache>
                <c:formatCode>0</c:formatCode>
                <c:ptCount val="5"/>
                <c:pt idx="0">
                  <c:v>81.28</c:v>
                </c:pt>
                <c:pt idx="1">
                  <c:v>32.454999999999998</c:v>
                </c:pt>
                <c:pt idx="2">
                  <c:v>17.334</c:v>
                </c:pt>
                <c:pt idx="3">
                  <c:v>10.019</c:v>
                </c:pt>
                <c:pt idx="4" formatCode="0.00">
                  <c:v>2.4700000000000002</c:v>
                </c:pt>
              </c:numCache>
            </c:numRef>
          </c:val>
        </c:ser>
        <c:ser>
          <c:idx val="1"/>
          <c:order val="1"/>
          <c:tx>
            <c:strRef>
              <c:f>Mines!$L$82</c:f>
              <c:strCache>
                <c:ptCount val="1"/>
                <c:pt idx="0">
                  <c:v>8 اشهر 2012</c:v>
                </c:pt>
              </c:strCache>
            </c:strRef>
          </c:tx>
          <c:dLbls>
            <c:dLbl>
              <c:idx val="0"/>
              <c:layout>
                <c:manualLayout>
                  <c:x val="1.3888888888889277E-2"/>
                  <c:y val="1.2698412698412705E-2"/>
                </c:manualLayout>
              </c:layout>
              <c:showVal val="1"/>
            </c:dLbl>
            <c:dLbl>
              <c:idx val="1"/>
              <c:layout>
                <c:manualLayout>
                  <c:x val="1.3888888888889277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666666666666701E-2"/>
                  <c:y val="6.3492063492063934E-3"/>
                </c:manualLayout>
              </c:layout>
              <c:showVal val="1"/>
            </c:dLbl>
            <c:showVal val="1"/>
          </c:dLbls>
          <c:cat>
            <c:strRef>
              <c:f>Mines!$M$85:$M$89</c:f>
              <c:strCache>
                <c:ptCount val="5"/>
                <c:pt idx="0">
                  <c:v>الحامض الفسفوري 54%</c:v>
                </c:pt>
                <c:pt idx="1">
                  <c:v>ثاني فسفاط الأمونيا</c:v>
                </c:pt>
                <c:pt idx="2">
                  <c:v>ثاني فسفاط الكلس</c:v>
                </c:pt>
                <c:pt idx="3">
                  <c:v>ثلاثي فسفاط الرفيع</c:v>
                </c:pt>
                <c:pt idx="4">
                  <c:v>فسفاط السوديوم</c:v>
                </c:pt>
              </c:strCache>
            </c:strRef>
          </c:cat>
          <c:val>
            <c:numRef>
              <c:f>Mines!$L$85:$L$89</c:f>
              <c:numCache>
                <c:formatCode>0</c:formatCode>
                <c:ptCount val="5"/>
                <c:pt idx="0">
                  <c:v>73.105999999999995</c:v>
                </c:pt>
                <c:pt idx="1">
                  <c:v>42.652000000000001</c:v>
                </c:pt>
                <c:pt idx="2">
                  <c:v>16.302</c:v>
                </c:pt>
                <c:pt idx="3">
                  <c:v>11.289</c:v>
                </c:pt>
                <c:pt idx="4" formatCode="0.00">
                  <c:v>2.4809999999999999</c:v>
                </c:pt>
              </c:numCache>
            </c:numRef>
          </c:val>
        </c:ser>
        <c:shape val="cylinder"/>
        <c:axId val="121520512"/>
        <c:axId val="121522048"/>
        <c:axId val="0"/>
      </c:bar3DChart>
      <c:catAx>
        <c:axId val="121520512"/>
        <c:scaling>
          <c:orientation val="minMax"/>
        </c:scaling>
        <c:axPos val="b"/>
        <c:tickLblPos val="nextTo"/>
        <c:crossAx val="121522048"/>
        <c:crosses val="autoZero"/>
        <c:auto val="1"/>
        <c:lblAlgn val="ctr"/>
        <c:lblOffset val="100"/>
      </c:catAx>
      <c:valAx>
        <c:axId val="121522048"/>
        <c:scaling>
          <c:orientation val="minMax"/>
        </c:scaling>
        <c:delete val="1"/>
        <c:axPos val="l"/>
        <c:numFmt formatCode="0" sourceLinked="1"/>
        <c:tickLblPos val="none"/>
        <c:crossAx val="121520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484270987865637"/>
          <c:y val="0.88264800233304874"/>
          <c:w val="0.48425196850393676"/>
          <c:h val="0.11481214848144022"/>
        </c:manualLayout>
      </c:layout>
    </c:legend>
    <c:plotVisOnly val="1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إنتاج مشتقات الفسفاط إلى موفى </a:t>
            </a:r>
            <a:r>
              <a:rPr lang="ar-TN" sz="1400" b="1" i="0" u="none" strike="noStrike" baseline="0"/>
              <a:t>أوت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4654485959133462"/>
          <c:y val="3.6091484233492627E-3"/>
        </c:manualLayout>
      </c:layout>
    </c:title>
    <c:plotArea>
      <c:layout>
        <c:manualLayout>
          <c:layoutTarget val="inner"/>
          <c:xMode val="edge"/>
          <c:yMode val="edge"/>
          <c:x val="3.1807231329645212E-2"/>
          <c:y val="0.14112674415702434"/>
          <c:w val="0.8725393808594889"/>
          <c:h val="0.67106509023439975"/>
        </c:manualLayout>
      </c:layout>
      <c:barChart>
        <c:barDir val="col"/>
        <c:grouping val="clustered"/>
        <c:ser>
          <c:idx val="0"/>
          <c:order val="0"/>
          <c:tx>
            <c:v>2010</c:v>
          </c:tx>
          <c:spPr>
            <a:solidFill>
              <a:schemeClr val="bg1">
                <a:lumMod val="95000"/>
              </a:schemeClr>
            </a:solidFill>
            <a:ln>
              <a:solidFill>
                <a:schemeClr val="tx1"/>
              </a:solidFill>
            </a:ln>
          </c:spPr>
          <c:cat>
            <c:multiLvlStrRef>
              <c:f>[1]أوت!$AH$31:$AI$35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[1]أوت!$AG$31:$AG$35</c:f>
              <c:numCache>
                <c:formatCode>General</c:formatCode>
                <c:ptCount val="5"/>
                <c:pt idx="0">
                  <c:v>781.78499999999997</c:v>
                </c:pt>
                <c:pt idx="1">
                  <c:v>509.13</c:v>
                </c:pt>
                <c:pt idx="2">
                  <c:v>780.6</c:v>
                </c:pt>
                <c:pt idx="3">
                  <c:v>52.38</c:v>
                </c:pt>
                <c:pt idx="4">
                  <c:v>96.63</c:v>
                </c:pt>
              </c:numCache>
            </c:numRef>
          </c:val>
        </c:ser>
        <c:ser>
          <c:idx val="1"/>
          <c:order val="1"/>
          <c:tx>
            <c:v>2012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[1]أوت!$AH$31:$AI$35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[1]أوت!$AF$31:$AF$35</c:f>
              <c:numCache>
                <c:formatCode>General</c:formatCode>
                <c:ptCount val="5"/>
                <c:pt idx="0">
                  <c:v>454.029</c:v>
                </c:pt>
                <c:pt idx="1">
                  <c:v>283.97000000000003</c:v>
                </c:pt>
                <c:pt idx="2">
                  <c:v>441.32799999999997</c:v>
                </c:pt>
                <c:pt idx="3">
                  <c:v>37.909999999999997</c:v>
                </c:pt>
                <c:pt idx="4">
                  <c:v>81.180000000000007</c:v>
                </c:pt>
              </c:numCache>
            </c:numRef>
          </c:val>
        </c:ser>
        <c:ser>
          <c:idx val="2"/>
          <c:order val="2"/>
          <c:tx>
            <c:v>2013</c:v>
          </c:tx>
          <c:spPr>
            <a:solidFill>
              <a:schemeClr val="tx1">
                <a:lumMod val="65000"/>
                <a:lumOff val="35000"/>
              </a:schemeClr>
            </a:solidFill>
            <a:ln w="9525">
              <a:solidFill>
                <a:sysClr val="windowText" lastClr="000000"/>
              </a:solidFill>
            </a:ln>
          </c:spPr>
          <c:cat>
            <c:multiLvlStrRef>
              <c:f>[1]أوت!$AH$31:$AI$35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[1]أوت!$AE$31:$AE$35</c:f>
              <c:numCache>
                <c:formatCode>General</c:formatCode>
                <c:ptCount val="5"/>
                <c:pt idx="0">
                  <c:v>477.80599999999998</c:v>
                </c:pt>
                <c:pt idx="1">
                  <c:v>349.66800000000001</c:v>
                </c:pt>
                <c:pt idx="2">
                  <c:v>565.43399999999997</c:v>
                </c:pt>
                <c:pt idx="3">
                  <c:v>33.590000000000003</c:v>
                </c:pt>
                <c:pt idx="4">
                  <c:v>82.513999999999996</c:v>
                </c:pt>
              </c:numCache>
            </c:numRef>
          </c:val>
        </c:ser>
        <c:axId val="121593856"/>
        <c:axId val="121595392"/>
      </c:barChart>
      <c:catAx>
        <c:axId val="121593856"/>
        <c:scaling>
          <c:orientation val="maxMin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21595392"/>
        <c:crosses val="autoZero"/>
        <c:auto val="1"/>
        <c:lblAlgn val="ctr"/>
        <c:lblOffset val="100"/>
      </c:catAx>
      <c:valAx>
        <c:axId val="121595392"/>
        <c:scaling>
          <c:orientation val="minMax"/>
          <c:max val="9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9233518605860951"/>
              <c:y val="4.1159609608360286E-2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593856"/>
        <c:crosses val="autoZero"/>
        <c:crossBetween val="between"/>
        <c:majorUnit val="1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5988944353050484"/>
          <c:y val="0.13584370844018001"/>
          <c:w val="0.339403980064581"/>
          <c:h val="0.10285789979136811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</c:chart>
  <c:spPr>
    <a:solidFill>
      <a:schemeClr val="bg1">
        <a:lumMod val="95000"/>
      </a:schemeClr>
    </a:solidFill>
    <a:ln w="19050">
      <a:solidFill>
        <a:sysClr val="windowText" lastClr="000000"/>
      </a:solidFill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صادرات مشتقات الفسفاط </a:t>
            </a:r>
            <a:r>
              <a:rPr lang="ar-TN" sz="1400" b="1" i="0" u="none" strike="noStrike" baseline="0"/>
              <a:t>إلى موفى أوت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4071254272438224"/>
          <c:y val="5.3335294379474084E-3"/>
        </c:manualLayout>
      </c:layout>
    </c:title>
    <c:plotArea>
      <c:layout>
        <c:manualLayout>
          <c:layoutTarget val="inner"/>
          <c:xMode val="edge"/>
          <c:yMode val="edge"/>
          <c:x val="3.6897279505740906E-2"/>
          <c:y val="0.17249057112464933"/>
          <c:w val="0.8673824087399804"/>
          <c:h val="0.6260382681525537"/>
        </c:manualLayout>
      </c:layout>
      <c:barChart>
        <c:barDir val="col"/>
        <c:grouping val="clustered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multiLvlStrRef>
              <c:f>[2]جويلية!$AH$45:$AI$49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[1]أوت!$AG$45:$AG$49</c:f>
              <c:numCache>
                <c:formatCode>General</c:formatCode>
                <c:ptCount val="5"/>
                <c:pt idx="0">
                  <c:v>358.99900000000002</c:v>
                </c:pt>
                <c:pt idx="1">
                  <c:v>473.18900000000002</c:v>
                </c:pt>
                <c:pt idx="2">
                  <c:v>764.15499999999997</c:v>
                </c:pt>
                <c:pt idx="3">
                  <c:v>36.94</c:v>
                </c:pt>
                <c:pt idx="4">
                  <c:v>91.257999999999996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[2]جويلية!$AH$45:$AI$49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[1]أوت!$AF$45:$AF$49</c:f>
              <c:numCache>
                <c:formatCode>General</c:formatCode>
                <c:ptCount val="5"/>
                <c:pt idx="0">
                  <c:v>176.268</c:v>
                </c:pt>
                <c:pt idx="1">
                  <c:v>330.995</c:v>
                </c:pt>
                <c:pt idx="2">
                  <c:v>384.77800000000002</c:v>
                </c:pt>
                <c:pt idx="3">
                  <c:v>19.3</c:v>
                </c:pt>
                <c:pt idx="4">
                  <c:v>74.521000000000001</c:v>
                </c:pt>
              </c:numCache>
            </c:numRef>
          </c:val>
        </c:ser>
        <c:ser>
          <c:idx val="1"/>
          <c:order val="2"/>
          <c:tx>
            <c:v>2013</c:v>
          </c:tx>
          <c:spPr>
            <a:solidFill>
              <a:schemeClr val="tx1">
                <a:lumMod val="75000"/>
                <a:lumOff val="25000"/>
              </a:schemeClr>
            </a:solidFill>
            <a:ln w="9525">
              <a:solidFill>
                <a:sysClr val="windowText" lastClr="000000"/>
              </a:solidFill>
            </a:ln>
          </c:spPr>
          <c:cat>
            <c:multiLvlStrRef>
              <c:f>[2]جويلية!$AH$45:$AI$49</c:f>
              <c:multiLvlStrCache>
                <c:ptCount val="2"/>
                <c:lvl>
                  <c:pt idx="0">
                    <c:v>فسفاط الصوديوم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[1]أوت!$AE$45:$AE$49</c:f>
              <c:numCache>
                <c:formatCode>General</c:formatCode>
                <c:ptCount val="5"/>
                <c:pt idx="0">
                  <c:v>179.828</c:v>
                </c:pt>
                <c:pt idx="1">
                  <c:v>305.74</c:v>
                </c:pt>
                <c:pt idx="2">
                  <c:v>351.07299999999998</c:v>
                </c:pt>
                <c:pt idx="3">
                  <c:v>10.8</c:v>
                </c:pt>
                <c:pt idx="4">
                  <c:v>85.284999999999997</c:v>
                </c:pt>
              </c:numCache>
            </c:numRef>
          </c:val>
        </c:ser>
        <c:axId val="121617408"/>
        <c:axId val="121656064"/>
      </c:barChart>
      <c:catAx>
        <c:axId val="121617408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21656064"/>
        <c:crosses val="autoZero"/>
        <c:auto val="1"/>
        <c:lblAlgn val="ctr"/>
        <c:lblOffset val="100"/>
      </c:catAx>
      <c:valAx>
        <c:axId val="121656064"/>
        <c:scaling>
          <c:orientation val="minMax"/>
          <c:max val="9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7548845315882484"/>
              <c:y val="4.7034980382144112E-2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617408"/>
        <c:crosses val="autoZero"/>
        <c:crossBetween val="between"/>
        <c:majorUnit val="10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4813045420102073"/>
          <c:y val="0.15998120879142605"/>
          <c:w val="0.33964117461710158"/>
          <c:h val="9.0000667716815821E-2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</c:chart>
  <c:spPr>
    <a:solidFill>
      <a:sysClr val="window" lastClr="FFFFFF">
        <a:lumMod val="95000"/>
      </a:sysClr>
    </a:solidFill>
    <a:ln w="19050">
      <a:solidFill>
        <a:sysClr val="windowText" lastClr="000000"/>
      </a:solidFill>
    </a:ln>
  </c:sp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المبيعات المحلية لمشتقات الفسفاط </a:t>
            </a:r>
            <a:r>
              <a:rPr lang="ar-TN" sz="1400" b="1" i="0" u="none" strike="noStrike" baseline="0"/>
              <a:t>إلى موفى أوت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1078481012658228"/>
          <c:y val="0"/>
        </c:manualLayout>
      </c:layout>
    </c:title>
    <c:plotArea>
      <c:layout>
        <c:manualLayout>
          <c:layoutTarget val="inner"/>
          <c:xMode val="edge"/>
          <c:yMode val="edge"/>
          <c:x val="3.0555555555555582E-2"/>
          <c:y val="0.16559038400723747"/>
          <c:w val="0.88495603674540679"/>
          <c:h val="0.59594188138571069"/>
        </c:manualLayout>
      </c:layout>
      <c:barChart>
        <c:barDir val="col"/>
        <c:grouping val="clustered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multiLvlStrRef>
              <c:f>[1]أوت!$AH$55:$AI$59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[1]أوت!$AG$55:$AG$59</c:f>
              <c:numCache>
                <c:formatCode>General</c:formatCode>
                <c:ptCount val="5"/>
                <c:pt idx="0">
                  <c:v>82.808000000000007</c:v>
                </c:pt>
                <c:pt idx="1">
                  <c:v>9.5719999999999992</c:v>
                </c:pt>
                <c:pt idx="2">
                  <c:v>31.696999999999999</c:v>
                </c:pt>
                <c:pt idx="3">
                  <c:v>15.685</c:v>
                </c:pt>
                <c:pt idx="4">
                  <c:v>4.1230000000000002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solidFill>
              <a:srgbClr val="9BBB59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[1]أوت!$AH$55:$AI$59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[1]أوت!$AF$55:$AF$59</c:f>
              <c:numCache>
                <c:formatCode>General</c:formatCode>
                <c:ptCount val="5"/>
                <c:pt idx="0">
                  <c:v>73.105999999999995</c:v>
                </c:pt>
                <c:pt idx="1">
                  <c:v>11.289</c:v>
                </c:pt>
                <c:pt idx="2">
                  <c:v>42.652000000000001</c:v>
                </c:pt>
                <c:pt idx="3">
                  <c:v>16.302</c:v>
                </c:pt>
                <c:pt idx="4">
                  <c:v>2.4809999999999999</c:v>
                </c:pt>
              </c:numCache>
            </c:numRef>
          </c:val>
        </c:ser>
        <c:ser>
          <c:idx val="1"/>
          <c:order val="2"/>
          <c:tx>
            <c:v>2013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[1]أوت!$AH$55:$AI$59</c:f>
              <c:multiLvlStrCache>
                <c:ptCount val="2"/>
                <c:lvl>
                  <c:pt idx="0">
                    <c:v>فسفاط الصوديوم </c:v>
                  </c:pt>
                </c:lvl>
                <c:lvl>
                  <c:pt idx="0">
                    <c:v>ثاني فسفاط الكلس</c:v>
                  </c:pt>
                </c:lvl>
                <c:lvl>
                  <c:pt idx="0">
                    <c:v>ثاني فسفاط الأمونيا</c:v>
                  </c:pt>
                </c:lvl>
                <c:lvl>
                  <c:pt idx="0">
                    <c:v>ثلاثي الفسفاط الرفيع</c:v>
                  </c:pt>
                </c:lvl>
                <c:lvl>
                  <c:pt idx="0">
                    <c:v>الحامض الفسفوري 54%</c:v>
                  </c:pt>
                </c:lvl>
              </c:multiLvlStrCache>
            </c:multiLvlStrRef>
          </c:cat>
          <c:val>
            <c:numRef>
              <c:f>[1]أوت!$AE$55:$AE$59</c:f>
              <c:numCache>
                <c:formatCode>General</c:formatCode>
                <c:ptCount val="5"/>
                <c:pt idx="0">
                  <c:v>81.28</c:v>
                </c:pt>
                <c:pt idx="1">
                  <c:v>10.019</c:v>
                </c:pt>
                <c:pt idx="2">
                  <c:v>32.454999999999998</c:v>
                </c:pt>
                <c:pt idx="3">
                  <c:v>17.334</c:v>
                </c:pt>
                <c:pt idx="4">
                  <c:v>2.4700000000000002</c:v>
                </c:pt>
              </c:numCache>
            </c:numRef>
          </c:val>
        </c:ser>
        <c:axId val="121698560"/>
        <c:axId val="121708544"/>
      </c:barChart>
      <c:catAx>
        <c:axId val="121698560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21708544"/>
        <c:crosses val="autoZero"/>
        <c:auto val="1"/>
        <c:lblAlgn val="ctr"/>
        <c:lblOffset val="100"/>
      </c:catAx>
      <c:valAx>
        <c:axId val="121708544"/>
        <c:scaling>
          <c:orientation val="minMax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9240266841644456"/>
              <c:y val="4.3709224017487433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698560"/>
        <c:crosses val="autoZero"/>
        <c:crossBetween val="between"/>
        <c:majorUnit val="1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8548483338317704"/>
          <c:y val="0.16315513122961667"/>
          <c:w val="0.34179075716801222"/>
          <c:h val="8.9109478999311528E-2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</c:chart>
  <c:spPr>
    <a:solidFill>
      <a:sysClr val="window" lastClr="FFFFFF">
        <a:lumMod val="95000"/>
      </a:sysClr>
    </a:solidFill>
    <a:ln w="19050">
      <a:solidFill>
        <a:schemeClr val="tx1"/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شراءات المواد الأوّلية </a:t>
            </a:r>
            <a:r>
              <a:rPr lang="ar-TN" sz="1400" b="1" i="0" u="none" strike="noStrike" baseline="0"/>
              <a:t>إلى موفى أوت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13847466979942291"/>
          <c:y val="4.6376536064056013E-3"/>
        </c:manualLayout>
      </c:layout>
    </c:title>
    <c:plotArea>
      <c:layout>
        <c:manualLayout>
          <c:layoutTarget val="inner"/>
          <c:xMode val="edge"/>
          <c:yMode val="edge"/>
          <c:x val="3.1864934128398602E-2"/>
          <c:y val="0.24096671916010709"/>
          <c:w val="0.86457382934235927"/>
          <c:h val="0.55969771700551341"/>
        </c:manualLayout>
      </c:layout>
      <c:barChart>
        <c:barDir val="col"/>
        <c:grouping val="clustered"/>
        <c:ser>
          <c:idx val="2"/>
          <c:order val="0"/>
          <c:tx>
            <c:v>2010</c:v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multiLvlStrRef>
              <c:f>[1]أوت!$AH$63:$AI$64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[1]أوت!$AG$63:$AG$64</c:f>
              <c:numCache>
                <c:formatCode>General</c:formatCode>
                <c:ptCount val="2"/>
                <c:pt idx="0">
                  <c:v>94.234208879999997</c:v>
                </c:pt>
                <c:pt idx="1">
                  <c:v>86.161630419999995</c:v>
                </c:pt>
              </c:numCache>
            </c:numRef>
          </c:val>
        </c:ser>
        <c:ser>
          <c:idx val="0"/>
          <c:order val="1"/>
          <c:tx>
            <c:v>2012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[1]أوت!$AH$63:$AI$64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[1]أوت!$AF$63:$AF$64</c:f>
              <c:numCache>
                <c:formatCode>General</c:formatCode>
                <c:ptCount val="2"/>
                <c:pt idx="0">
                  <c:v>105.51766575999999</c:v>
                </c:pt>
                <c:pt idx="1">
                  <c:v>80.800911100000008</c:v>
                </c:pt>
              </c:numCache>
            </c:numRef>
          </c:val>
        </c:ser>
        <c:ser>
          <c:idx val="1"/>
          <c:order val="2"/>
          <c:tx>
            <c:v>2013</c:v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ysClr val="windowText" lastClr="000000"/>
              </a:solidFill>
            </a:ln>
          </c:spPr>
          <c:cat>
            <c:multiLvlStrRef>
              <c:f>[1]أوت!$AH$63:$AI$64</c:f>
              <c:multiLvlStrCache>
                <c:ptCount val="2"/>
                <c:lvl>
                  <c:pt idx="0">
                    <c:v>الأمونيا</c:v>
                  </c:pt>
                </c:lvl>
                <c:lvl>
                  <c:pt idx="0">
                    <c:v>الكبريت</c:v>
                  </c:pt>
                </c:lvl>
              </c:multiLvlStrCache>
            </c:multiLvlStrRef>
          </c:cat>
          <c:val>
            <c:numRef>
              <c:f>[1]أوت!$AE$63:$AE$64</c:f>
              <c:numCache>
                <c:formatCode>General</c:formatCode>
                <c:ptCount val="2"/>
                <c:pt idx="0">
                  <c:v>96.181153640000005</c:v>
                </c:pt>
                <c:pt idx="1">
                  <c:v>79.25151215999999</c:v>
                </c:pt>
              </c:numCache>
            </c:numRef>
          </c:val>
        </c:ser>
        <c:gapWidth val="400"/>
        <c:axId val="121742848"/>
        <c:axId val="121744384"/>
      </c:barChart>
      <c:catAx>
        <c:axId val="121742848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121744384"/>
        <c:crosses val="autoZero"/>
        <c:auto val="1"/>
        <c:lblAlgn val="ctr"/>
        <c:lblOffset val="100"/>
      </c:catAx>
      <c:valAx>
        <c:axId val="121744384"/>
        <c:scaling>
          <c:orientation val="minMax"/>
          <c:max val="15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دولاراا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8476574275503409"/>
              <c:y val="5.8296017506859713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742848"/>
        <c:crosses val="autoZero"/>
        <c:crossBetween val="between"/>
        <c:majorUnit val="50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24516384780133477"/>
          <c:y val="0.19781045358291388"/>
          <c:w val="0.34396790636825852"/>
          <c:h val="0.18153038104774236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</c:chart>
  <c:spPr>
    <a:solidFill>
      <a:sysClr val="window" lastClr="FFFFFF">
        <a:lumMod val="95000"/>
      </a:sysClr>
    </a:solidFill>
    <a:ln w="19050">
      <a:solidFill>
        <a:sysClr val="windowText" lastClr="000000"/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رقمي</a:t>
            </a:r>
            <a:r>
              <a:rPr lang="ar-TN" sz="1400" baseline="0">
                <a:cs typeface="Traditional Arabic" pitchFamily="2" charset="-78"/>
              </a:rPr>
              <a:t> المعاملات إلى موفى أوت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2128278397237144"/>
          <c:y val="9.204911839594862E-3"/>
        </c:manualLayout>
      </c:layout>
    </c:title>
    <c:plotArea>
      <c:layout>
        <c:manualLayout>
          <c:layoutTarget val="inner"/>
          <c:xMode val="edge"/>
          <c:yMode val="edge"/>
          <c:x val="3.2570499027121481E-2"/>
          <c:y val="0.14646502748425846"/>
          <c:w val="0.86517094903130776"/>
          <c:h val="0.71782691699498358"/>
        </c:manualLayout>
      </c:layout>
      <c:barChart>
        <c:barDir val="col"/>
        <c:grouping val="clustered"/>
        <c:ser>
          <c:idx val="2"/>
          <c:order val="0"/>
          <c:tx>
            <c:v>الإجمالي</c:v>
          </c:tx>
          <c:spPr>
            <a:solidFill>
              <a:schemeClr val="bg1">
                <a:lumMod val="95000"/>
              </a:schemeClr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-6.7085962737709448E-2"/>
                  <c:y val="5.1917394482634063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7.0440260874594943E-2"/>
                  <c:y val="8.023597329134356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6.0377366463938507E-2"/>
                  <c:y val="8.0235973291343562E-2"/>
                </c:manualLayout>
              </c:layout>
              <c:dLblPos val="outEnd"/>
              <c:showVal val="1"/>
            </c:dLbl>
            <c:numFmt formatCode="0" sourceLinked="0"/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dLblPos val="outEnd"/>
            <c:showVal val="1"/>
          </c:dLbls>
          <c:cat>
            <c:numRef>
              <c:f>[1]أوت!$AE$15:$AG$15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2010</c:v>
                </c:pt>
              </c:numCache>
            </c:numRef>
          </c:cat>
          <c:val>
            <c:numRef>
              <c:f>[1]أوت!$AE$22:$AG$22</c:f>
              <c:numCache>
                <c:formatCode>General</c:formatCode>
                <c:ptCount val="3"/>
                <c:pt idx="0">
                  <c:v>709.80202500000007</c:v>
                </c:pt>
                <c:pt idx="1">
                  <c:v>762.55200000000002</c:v>
                </c:pt>
                <c:pt idx="2">
                  <c:v>955.89300000000003</c:v>
                </c:pt>
              </c:numCache>
            </c:numRef>
          </c:val>
        </c:ser>
        <c:ser>
          <c:idx val="0"/>
          <c:order val="1"/>
          <c:tx>
            <c:v>التصدير</c:v>
          </c:tx>
          <c:dLbls>
            <c:dLbl>
              <c:idx val="0"/>
              <c:layout>
                <c:manualLayout>
                  <c:x val="3.6897279505740517E-2"/>
                  <c:y val="-4.719763134785007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668770190167567E-2"/>
                  <c:y val="-4.71976313478500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0314472053282551E-2"/>
                  <c:y val="0"/>
                </c:manualLayout>
              </c:layout>
              <c:dLblPos val="outEnd"/>
              <c:showVal val="1"/>
            </c:dLbl>
            <c:spPr>
              <a:solidFill>
                <a:schemeClr val="accent1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dLblPos val="outEnd"/>
            <c:showVal val="1"/>
          </c:dLbls>
          <c:cat>
            <c:numRef>
              <c:f>[1]أوت!$AE$15:$AG$15</c:f>
              <c:numCache>
                <c:formatCode>General</c:formatCode>
                <c:ptCount val="3"/>
                <c:pt idx="0">
                  <c:v>2013</c:v>
                </c:pt>
                <c:pt idx="1">
                  <c:v>2012</c:v>
                </c:pt>
                <c:pt idx="2">
                  <c:v>2010</c:v>
                </c:pt>
              </c:numCache>
            </c:numRef>
          </c:cat>
          <c:val>
            <c:numRef>
              <c:f>[1]أوت!$AE$23:$AG$23</c:f>
              <c:numCache>
                <c:formatCode>General</c:formatCode>
                <c:ptCount val="3"/>
                <c:pt idx="0">
                  <c:v>601.88136800000007</c:v>
                </c:pt>
                <c:pt idx="1">
                  <c:v>643.23199999999997</c:v>
                </c:pt>
                <c:pt idx="2">
                  <c:v>855.43100000000004</c:v>
                </c:pt>
              </c:numCache>
            </c:numRef>
          </c:val>
        </c:ser>
        <c:gapWidth val="451"/>
        <c:overlap val="1"/>
        <c:axId val="121799424"/>
        <c:axId val="121800960"/>
      </c:barChart>
      <c:catAx>
        <c:axId val="121799424"/>
        <c:scaling>
          <c:orientation val="minMax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1800960"/>
        <c:crosses val="autoZero"/>
        <c:auto val="1"/>
        <c:lblAlgn val="ctr"/>
        <c:lblOffset val="100"/>
      </c:catAx>
      <c:valAx>
        <c:axId val="121800960"/>
        <c:scaling>
          <c:orientation val="minMax"/>
          <c:max val="1200"/>
          <c:min val="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مليون دولارا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1.1790225892170703E-2"/>
              <c:y val="4.6956811937507434E-2"/>
            </c:manualLayout>
          </c:layout>
        </c:title>
        <c:numFmt formatCode="0" sourceLinked="0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799424"/>
        <c:crosses val="autoZero"/>
        <c:crossBetween val="between"/>
      </c:valAx>
      <c:spPr>
        <a:solidFill>
          <a:sysClr val="window" lastClr="FFFFFF"/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.37606462649626132"/>
          <c:y val="0.15797753318421001"/>
          <c:w val="0.29892395700476876"/>
          <c:h val="8.5347067967933857E-2"/>
        </c:manualLayout>
      </c:layout>
      <c:txPr>
        <a:bodyPr/>
        <a:lstStyle/>
        <a:p>
          <a:pPr>
            <a:defRPr b="1"/>
          </a:pPr>
          <a:endParaRPr lang="fr-FR"/>
        </a:p>
      </c:txPr>
    </c:legend>
    <c:plotVisOnly val="1"/>
  </c:chart>
  <c:spPr>
    <a:solidFill>
      <a:schemeClr val="bg1">
        <a:lumMod val="95000"/>
      </a:schemeClr>
    </a:solidFill>
    <a:ln w="19050">
      <a:solidFill>
        <a:schemeClr val="tx1"/>
      </a:solidFill>
    </a:ln>
  </c:sp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spPr>
            <a:solidFill>
              <a:schemeClr val="accent5">
                <a:lumMod val="75000"/>
              </a:schemeClr>
            </a:solidFill>
            <a:ln w="38100">
              <a:solidFill>
                <a:schemeClr val="accent5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woPt" dir="t"/>
            </a:scene3d>
            <a:sp3d>
              <a:bevelT w="177800" h="146050"/>
              <a:bevelB w="0" h="0"/>
            </a:sp3d>
          </c:spPr>
          <c:dLbls>
            <c:dLbl>
              <c:idx val="0"/>
              <c:layout>
                <c:manualLayout>
                  <c:x val="0"/>
                  <c:y val="0.25603864734299531"/>
                </c:manualLayout>
              </c:layout>
              <c:showVal val="1"/>
            </c:dLbl>
            <c:dLbl>
              <c:idx val="1"/>
              <c:layout>
                <c:manualLayout>
                  <c:x val="1.6666666666666701E-2"/>
                  <c:y val="0.26086956521739391"/>
                </c:manualLayout>
              </c:layout>
              <c:showVal val="1"/>
            </c:dLbl>
            <c:delete val="1"/>
            <c:txPr>
              <a:bodyPr/>
              <a:lstStyle/>
              <a:p>
                <a:pPr>
                  <a:defRPr sz="1600" b="1">
                    <a:solidFill>
                      <a:srgbClr val="92D050"/>
                    </a:solidFill>
                  </a:defRPr>
                </a:pPr>
                <a:endParaRPr lang="fr-FR"/>
              </a:p>
            </c:txPr>
          </c:dLbls>
          <c:cat>
            <c:strRef>
              <c:f>ZDR!$E$28:$F$28</c:f>
              <c:strCache>
                <c:ptCount val="2"/>
                <c:pt idx="0">
                  <c:v>08 mois 2013</c:v>
                </c:pt>
                <c:pt idx="1">
                  <c:v>08 mois 2012</c:v>
                </c:pt>
              </c:strCache>
            </c:strRef>
          </c:cat>
          <c:val>
            <c:numRef>
              <c:f>ZDR!$E$29:$F$29</c:f>
              <c:numCache>
                <c:formatCode>0</c:formatCode>
                <c:ptCount val="2"/>
                <c:pt idx="0">
                  <c:v>1558.4</c:v>
                </c:pt>
                <c:pt idx="1">
                  <c:v>1083.9000000000001</c:v>
                </c:pt>
              </c:numCache>
            </c:numRef>
          </c:val>
        </c:ser>
        <c:axId val="121809152"/>
        <c:axId val="121880576"/>
      </c:barChart>
      <c:catAx>
        <c:axId val="121809152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 b="1"/>
            </a:pPr>
            <a:endParaRPr lang="fr-FR"/>
          </a:p>
        </c:txPr>
        <c:crossAx val="121880576"/>
        <c:crosses val="autoZero"/>
        <c:auto val="1"/>
        <c:lblAlgn val="ctr"/>
        <c:lblOffset val="100"/>
      </c:catAx>
      <c:valAx>
        <c:axId val="121880576"/>
        <c:scaling>
          <c:orientation val="minMax"/>
        </c:scaling>
        <c:delete val="1"/>
        <c:axPos val="l"/>
        <c:numFmt formatCode="0" sourceLinked="1"/>
        <c:tickLblPos val="none"/>
        <c:crossAx val="121809152"/>
        <c:crosses val="autoZero"/>
        <c:crossBetween val="between"/>
      </c:valAx>
    </c:plotArea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8.2494688163979507E-2"/>
          <c:y val="6.9499340751420183E-2"/>
          <c:w val="0.91750531183602047"/>
          <c:h val="0.67475657092160002"/>
        </c:manualLayout>
      </c:layout>
      <c:bar3DChart>
        <c:barDir val="col"/>
        <c:grouping val="clustered"/>
        <c:ser>
          <c:idx val="1"/>
          <c:order val="0"/>
          <c:tx>
            <c:strRef>
              <c:f>'investissements (APII)'!$E$4</c:f>
              <c:strCache>
                <c:ptCount val="1"/>
                <c:pt idx="0">
                  <c:v>8 mois 2013</c:v>
                </c:pt>
              </c:strCache>
            </c:strRef>
          </c:tx>
          <c:dLbls>
            <c:dLbl>
              <c:idx val="0"/>
              <c:layout>
                <c:manualLayout>
                  <c:x val="1.9047619047619563E-2"/>
                  <c:y val="2.8690331060329969E-17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6.2597809076682404E-3"/>
                </c:manualLayout>
              </c:layout>
              <c:showVal val="1"/>
            </c:dLbl>
            <c:dLbl>
              <c:idx val="5"/>
              <c:layout>
                <c:manualLayout>
                  <c:x val="-5.7875437050514912E-3"/>
                  <c:y val="1.8779342723004692E-2"/>
                </c:manualLayout>
              </c:layout>
              <c:showVal val="1"/>
            </c:dLbl>
            <c:dLbl>
              <c:idx val="6"/>
              <c:layout>
                <c:manualLayout>
                  <c:x val="2.2003657485053884E-3"/>
                  <c:y val="-1.8779342723004692E-2"/>
                </c:manualLayout>
              </c:layout>
              <c:showVal val="1"/>
            </c:dLbl>
            <c:showVal val="1"/>
          </c:dLbls>
          <c:cat>
            <c:strRef>
              <c:f>'investissements (APII)'!$B$6:$B$12</c:f>
              <c:strCache>
                <c:ptCount val="7"/>
                <c:pt idx="0">
                  <c:v>IMCCV</c:v>
                </c:pt>
                <c:pt idx="1">
                  <c:v>IAA</c:v>
                </c:pt>
                <c:pt idx="2">
                  <c:v>IME</c:v>
                </c:pt>
                <c:pt idx="3">
                  <c:v>ID</c:v>
                </c:pt>
                <c:pt idx="4">
                  <c:v>ICH</c:v>
                </c:pt>
                <c:pt idx="5">
                  <c:v>ITH</c:v>
                </c:pt>
                <c:pt idx="6">
                  <c:v>ICC</c:v>
                </c:pt>
              </c:strCache>
            </c:strRef>
          </c:cat>
          <c:val>
            <c:numRef>
              <c:f>'investissements (APII)'!$E$6:$E$12</c:f>
              <c:numCache>
                <c:formatCode>0</c:formatCode>
                <c:ptCount val="7"/>
                <c:pt idx="0">
                  <c:v>710.8</c:v>
                </c:pt>
                <c:pt idx="1">
                  <c:v>579.20000000000005</c:v>
                </c:pt>
                <c:pt idx="2">
                  <c:v>503.2</c:v>
                </c:pt>
                <c:pt idx="3">
                  <c:v>365.3</c:v>
                </c:pt>
                <c:pt idx="4">
                  <c:v>229.7</c:v>
                </c:pt>
                <c:pt idx="5">
                  <c:v>89.4</c:v>
                </c:pt>
                <c:pt idx="6">
                  <c:v>13</c:v>
                </c:pt>
              </c:numCache>
            </c:numRef>
          </c:val>
        </c:ser>
        <c:ser>
          <c:idx val="0"/>
          <c:order val="1"/>
          <c:tx>
            <c:strRef>
              <c:f>'investissements (APII)'!$D$4</c:f>
              <c:strCache>
                <c:ptCount val="1"/>
                <c:pt idx="0">
                  <c:v>8 mois 2012</c:v>
                </c:pt>
              </c:strCache>
            </c:strRef>
          </c:tx>
          <c:dLbls>
            <c:dLbl>
              <c:idx val="0"/>
              <c:layout>
                <c:manualLayout>
                  <c:x val="1.3485040033712641E-2"/>
                  <c:y val="-5.7380662120654342E-17"/>
                </c:manualLayout>
              </c:layout>
              <c:showVal val="1"/>
            </c:dLbl>
            <c:dLbl>
              <c:idx val="1"/>
              <c:layout>
                <c:manualLayout>
                  <c:x val="8.0188206562675241E-3"/>
                  <c:y val="-1.8779527559055143E-2"/>
                </c:manualLayout>
              </c:layout>
              <c:showVal val="1"/>
            </c:dLbl>
            <c:dLbl>
              <c:idx val="2"/>
              <c:layout>
                <c:manualLayout>
                  <c:x val="1.4965986394557845E-2"/>
                  <c:y val="-2.5039123630672996E-2"/>
                </c:manualLayout>
              </c:layout>
              <c:showVal val="1"/>
            </c:dLbl>
            <c:dLbl>
              <c:idx val="3"/>
              <c:layout>
                <c:manualLayout>
                  <c:x val="2.6505536365476492E-3"/>
                  <c:y val="-2.2222222222222251E-2"/>
                </c:manualLayout>
              </c:layout>
              <c:showVal val="1"/>
            </c:dLbl>
            <c:showVal val="1"/>
          </c:dLbls>
          <c:cat>
            <c:strRef>
              <c:f>'investissements (APII)'!$B$6:$B$12</c:f>
              <c:strCache>
                <c:ptCount val="7"/>
                <c:pt idx="0">
                  <c:v>IMCCV</c:v>
                </c:pt>
                <c:pt idx="1">
                  <c:v>IAA</c:v>
                </c:pt>
                <c:pt idx="2">
                  <c:v>IME</c:v>
                </c:pt>
                <c:pt idx="3">
                  <c:v>ID</c:v>
                </c:pt>
                <c:pt idx="4">
                  <c:v>ICH</c:v>
                </c:pt>
                <c:pt idx="5">
                  <c:v>ITH</c:v>
                </c:pt>
                <c:pt idx="6">
                  <c:v>ICC</c:v>
                </c:pt>
              </c:strCache>
            </c:strRef>
          </c:cat>
          <c:val>
            <c:numRef>
              <c:f>'investissements (APII)'!$D$6:$D$12</c:f>
              <c:numCache>
                <c:formatCode>0</c:formatCode>
                <c:ptCount val="7"/>
                <c:pt idx="0">
                  <c:v>310.10000000000002</c:v>
                </c:pt>
                <c:pt idx="1">
                  <c:v>1091.4000000000001</c:v>
                </c:pt>
                <c:pt idx="2">
                  <c:v>386.2</c:v>
                </c:pt>
                <c:pt idx="3">
                  <c:v>537.5</c:v>
                </c:pt>
                <c:pt idx="4">
                  <c:v>130.1</c:v>
                </c:pt>
                <c:pt idx="5">
                  <c:v>144.1</c:v>
                </c:pt>
                <c:pt idx="6">
                  <c:v>42.1</c:v>
                </c:pt>
              </c:numCache>
            </c:numRef>
          </c:val>
        </c:ser>
        <c:ser>
          <c:idx val="2"/>
          <c:order val="2"/>
          <c:tx>
            <c:strRef>
              <c:f>'investissements (APII)'!$C$4</c:f>
              <c:strCache>
                <c:ptCount val="1"/>
                <c:pt idx="0">
                  <c:v>8 mois 2010</c:v>
                </c:pt>
              </c:strCache>
            </c:strRef>
          </c:tx>
          <c:dLbls>
            <c:dLbl>
              <c:idx val="0"/>
              <c:layout>
                <c:manualLayout>
                  <c:x val="1.3485040033712641E-2"/>
                  <c:y val="1.2519561815336465E-2"/>
                </c:manualLayout>
              </c:layout>
              <c:showVal val="1"/>
            </c:dLbl>
            <c:showVal val="1"/>
          </c:dLbls>
          <c:cat>
            <c:strRef>
              <c:f>'investissements (APII)'!$B$6:$B$12</c:f>
              <c:strCache>
                <c:ptCount val="7"/>
                <c:pt idx="0">
                  <c:v>IMCCV</c:v>
                </c:pt>
                <c:pt idx="1">
                  <c:v>IAA</c:v>
                </c:pt>
                <c:pt idx="2">
                  <c:v>IME</c:v>
                </c:pt>
                <c:pt idx="3">
                  <c:v>ID</c:v>
                </c:pt>
                <c:pt idx="4">
                  <c:v>ICH</c:v>
                </c:pt>
                <c:pt idx="5">
                  <c:v>ITH</c:v>
                </c:pt>
                <c:pt idx="6">
                  <c:v>ICC</c:v>
                </c:pt>
              </c:strCache>
            </c:strRef>
          </c:cat>
          <c:val>
            <c:numRef>
              <c:f>'investissements (APII)'!$C$6:$C$12</c:f>
              <c:numCache>
                <c:formatCode>0</c:formatCode>
                <c:ptCount val="7"/>
                <c:pt idx="0">
                  <c:v>240.1</c:v>
                </c:pt>
                <c:pt idx="1">
                  <c:v>407.5</c:v>
                </c:pt>
                <c:pt idx="2">
                  <c:v>348.2</c:v>
                </c:pt>
                <c:pt idx="3">
                  <c:v>273.7</c:v>
                </c:pt>
                <c:pt idx="4">
                  <c:v>231</c:v>
                </c:pt>
                <c:pt idx="5">
                  <c:v>191.3</c:v>
                </c:pt>
                <c:pt idx="6">
                  <c:v>21.6</c:v>
                </c:pt>
              </c:numCache>
            </c:numRef>
          </c:val>
        </c:ser>
        <c:shape val="cylinder"/>
        <c:axId val="121959552"/>
        <c:axId val="121961088"/>
        <c:axId val="0"/>
      </c:bar3DChart>
      <c:catAx>
        <c:axId val="121959552"/>
        <c:scaling>
          <c:orientation val="minMax"/>
        </c:scaling>
        <c:axPos val="b"/>
        <c:tickLblPos val="nextTo"/>
        <c:crossAx val="121961088"/>
        <c:crosses val="autoZero"/>
        <c:auto val="1"/>
        <c:lblAlgn val="ctr"/>
        <c:lblOffset val="100"/>
      </c:catAx>
      <c:valAx>
        <c:axId val="121961088"/>
        <c:scaling>
          <c:orientation val="minMax"/>
        </c:scaling>
        <c:axPos val="l"/>
        <c:numFmt formatCode="0" sourceLinked="1"/>
        <c:tickLblPos val="nextTo"/>
        <c:crossAx val="12195955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2.1427980635147479E-2"/>
          <c:y val="0.18344720689441846"/>
          <c:w val="0.9691658132445915"/>
          <c:h val="0.53381497415915791"/>
        </c:manualLayout>
      </c:layout>
      <c:bar3DChart>
        <c:barDir val="col"/>
        <c:grouping val="clustered"/>
        <c:ser>
          <c:idx val="0"/>
          <c:order val="0"/>
          <c:tx>
            <c:strRef>
              <c:f>Mines!$F$31</c:f>
              <c:strCache>
                <c:ptCount val="1"/>
                <c:pt idx="0">
                  <c:v>8 mois 2013</c:v>
                </c:pt>
              </c:strCache>
            </c:strRef>
          </c:tx>
          <c:dLbls>
            <c:showVal val="1"/>
          </c:dLbls>
          <c:cat>
            <c:strRef>
              <c:f>Mines!$C$34:$C$38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Mines!$F$34:$F$38</c:f>
              <c:numCache>
                <c:formatCode>#,##0</c:formatCode>
                <c:ptCount val="5"/>
                <c:pt idx="0">
                  <c:v>565.43399999999997</c:v>
                </c:pt>
                <c:pt idx="1">
                  <c:v>477.80599999999998</c:v>
                </c:pt>
                <c:pt idx="2">
                  <c:v>349.66800000000001</c:v>
                </c:pt>
                <c:pt idx="3">
                  <c:v>82.513999999999996</c:v>
                </c:pt>
                <c:pt idx="4">
                  <c:v>33.590000000000003</c:v>
                </c:pt>
              </c:numCache>
            </c:numRef>
          </c:val>
        </c:ser>
        <c:ser>
          <c:idx val="1"/>
          <c:order val="1"/>
          <c:tx>
            <c:strRef>
              <c:f>Mines!$E$31</c:f>
              <c:strCache>
                <c:ptCount val="1"/>
                <c:pt idx="0">
                  <c:v>8 mois 2012</c:v>
                </c:pt>
              </c:strCache>
            </c:strRef>
          </c:tx>
          <c:dLbls>
            <c:dLbl>
              <c:idx val="0"/>
              <c:layout>
                <c:manualLayout>
                  <c:x val="5.7388922272634344E-3"/>
                  <c:y val="1.0178112969841143E-2"/>
                </c:manualLayout>
              </c:layout>
              <c:showVal val="1"/>
            </c:dLbl>
            <c:dLbl>
              <c:idx val="1"/>
              <c:layout>
                <c:manualLayout>
                  <c:x val="1.0368545926483386E-2"/>
                  <c:y val="-1.352006029930872E-3"/>
                </c:manualLayout>
              </c:layout>
              <c:showVal val="1"/>
            </c:dLbl>
            <c:dLbl>
              <c:idx val="2"/>
              <c:layout>
                <c:manualLayout>
                  <c:x val="9.8139266624616278E-3"/>
                  <c:y val="0"/>
                </c:manualLayout>
              </c:layout>
              <c:showVal val="1"/>
            </c:dLbl>
            <c:showVal val="1"/>
          </c:dLbls>
          <c:cat>
            <c:strRef>
              <c:f>Mines!$C$34:$C$38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Mines!$E$34:$E$38</c:f>
              <c:numCache>
                <c:formatCode>#,##0</c:formatCode>
                <c:ptCount val="5"/>
                <c:pt idx="0">
                  <c:v>441.32799999999997</c:v>
                </c:pt>
                <c:pt idx="1">
                  <c:v>454.029</c:v>
                </c:pt>
                <c:pt idx="2">
                  <c:v>283.97000000000003</c:v>
                </c:pt>
                <c:pt idx="3">
                  <c:v>81.180000000000007</c:v>
                </c:pt>
                <c:pt idx="4">
                  <c:v>37.909999999999997</c:v>
                </c:pt>
              </c:numCache>
            </c:numRef>
          </c:val>
        </c:ser>
        <c:ser>
          <c:idx val="2"/>
          <c:order val="2"/>
          <c:tx>
            <c:strRef>
              <c:f>Mines!$D$31</c:f>
              <c:strCache>
                <c:ptCount val="1"/>
                <c:pt idx="0">
                  <c:v>8 mois 2010</c:v>
                </c:pt>
              </c:strCache>
            </c:strRef>
          </c:tx>
          <c:dLbls>
            <c:dLbl>
              <c:idx val="1"/>
              <c:layout>
                <c:manualLayout>
                  <c:x val="1.4909480668743071E-2"/>
                  <c:y val="-1.0178112969841092E-2"/>
                </c:manualLayout>
              </c:layout>
              <c:showVal val="1"/>
            </c:dLbl>
            <c:showVal val="1"/>
          </c:dLbls>
          <c:cat>
            <c:strRef>
              <c:f>Mines!$C$34:$C$38</c:f>
              <c:strCache>
                <c:ptCount val="5"/>
                <c:pt idx="0">
                  <c:v>DAP</c:v>
                </c:pt>
                <c:pt idx="1">
                  <c:v>Acide Phosphorique 54%</c:v>
                </c:pt>
                <c:pt idx="2">
                  <c:v>TSP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Mines!$D$34:$D$38</c:f>
              <c:numCache>
                <c:formatCode>#,##0</c:formatCode>
                <c:ptCount val="5"/>
                <c:pt idx="0">
                  <c:v>780.6</c:v>
                </c:pt>
                <c:pt idx="1">
                  <c:v>781.78499999999997</c:v>
                </c:pt>
                <c:pt idx="2">
                  <c:v>509.13</c:v>
                </c:pt>
                <c:pt idx="3">
                  <c:v>96.63</c:v>
                </c:pt>
                <c:pt idx="4">
                  <c:v>52.38</c:v>
                </c:pt>
              </c:numCache>
            </c:numRef>
          </c:val>
        </c:ser>
        <c:shape val="cylinder"/>
        <c:axId val="120718464"/>
        <c:axId val="120720000"/>
        <c:axId val="0"/>
      </c:bar3DChart>
      <c:catAx>
        <c:axId val="120718464"/>
        <c:scaling>
          <c:orientation val="minMax"/>
        </c:scaling>
        <c:axPos val="b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120720000"/>
        <c:crosses val="autoZero"/>
        <c:auto val="1"/>
        <c:lblAlgn val="ctr"/>
        <c:lblOffset val="100"/>
      </c:catAx>
      <c:valAx>
        <c:axId val="120720000"/>
        <c:scaling>
          <c:orientation val="minMax"/>
        </c:scaling>
        <c:delete val="1"/>
        <c:axPos val="l"/>
        <c:numFmt formatCode="#,##0" sourceLinked="1"/>
        <c:tickLblPos val="none"/>
        <c:crossAx val="120718464"/>
        <c:crosses val="autoZero"/>
        <c:crossBetween val="between"/>
        <c:majorUnit val="50"/>
      </c:valAx>
    </c:plotArea>
    <c:legend>
      <c:legendPos val="r"/>
      <c:layout>
        <c:manualLayout>
          <c:xMode val="edge"/>
          <c:yMode val="edge"/>
          <c:x val="0.24281154231952945"/>
          <c:y val="0.92481900790647065"/>
          <c:w val="0.54169229146307463"/>
          <c:h val="7.5180992093529714E-2"/>
        </c:manualLayout>
      </c:layout>
    </c:legend>
    <c:plotVisOnly val="1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7.1734527039452031E-2"/>
          <c:y val="6.9499340751420183E-2"/>
          <c:w val="0.92826547296054795"/>
          <c:h val="0.64345766638325164"/>
        </c:manualLayout>
      </c:layout>
      <c:bar3DChart>
        <c:barDir val="col"/>
        <c:grouping val="clustered"/>
        <c:ser>
          <c:idx val="1"/>
          <c:order val="0"/>
          <c:tx>
            <c:strRef>
              <c:f>'investissements (APII)'!$K$4</c:f>
              <c:strCache>
                <c:ptCount val="1"/>
                <c:pt idx="0">
                  <c:v>8 اشهر 2013</c:v>
                </c:pt>
              </c:strCache>
            </c:strRef>
          </c:tx>
          <c:dLbls>
            <c:dLbl>
              <c:idx val="0"/>
              <c:layout>
                <c:manualLayout>
                  <c:x val="1.904761904761957E-2"/>
                  <c:y val="2.8690331060330024E-17"/>
                </c:manualLayout>
              </c:layout>
              <c:showVal val="1"/>
            </c:dLbl>
            <c:dLbl>
              <c:idx val="1"/>
              <c:layout>
                <c:manualLayout>
                  <c:x val="-6.1095429109097104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-1.8557023287900161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-1.1542089066382199E-3"/>
                  <c:y val="-1.2519561815336465E-2"/>
                </c:manualLayout>
              </c:layout>
              <c:showVal val="1"/>
            </c:dLbl>
            <c:showVal val="1"/>
          </c:dLbls>
          <c:cat>
            <c:strRef>
              <c:f>'investissements (APII)'!$N$6:$N$12</c:f>
              <c:strCache>
                <c:ptCount val="7"/>
                <c:pt idx="0">
                  <c:v>صناعات مواد البناء والخزف والبلور</c:v>
                </c:pt>
                <c:pt idx="1">
                  <c:v>الصناعات الغذائية</c:v>
                </c:pt>
                <c:pt idx="2">
                  <c:v>الصناعات الميكانيكية والكهربائية</c:v>
                </c:pt>
                <c:pt idx="3">
                  <c:v>الصناعات المختلفة</c:v>
                </c:pt>
                <c:pt idx="4">
                  <c:v>الصناعات الكيميائية</c:v>
                </c:pt>
                <c:pt idx="5">
                  <c:v>صناعة النسيج والملابس</c:v>
                </c:pt>
                <c:pt idx="6">
                  <c:v>صناعة الجلود والاحذية</c:v>
                </c:pt>
              </c:strCache>
            </c:strRef>
          </c:cat>
          <c:val>
            <c:numRef>
              <c:f>'investissements (APII)'!$K$6:$K$12</c:f>
              <c:numCache>
                <c:formatCode>0</c:formatCode>
                <c:ptCount val="7"/>
                <c:pt idx="0">
                  <c:v>710.8</c:v>
                </c:pt>
                <c:pt idx="1">
                  <c:v>579.20000000000005</c:v>
                </c:pt>
                <c:pt idx="2">
                  <c:v>503.2</c:v>
                </c:pt>
                <c:pt idx="3">
                  <c:v>365.3</c:v>
                </c:pt>
                <c:pt idx="4">
                  <c:v>229.7</c:v>
                </c:pt>
                <c:pt idx="5">
                  <c:v>89.4</c:v>
                </c:pt>
                <c:pt idx="6">
                  <c:v>13</c:v>
                </c:pt>
              </c:numCache>
            </c:numRef>
          </c:val>
        </c:ser>
        <c:ser>
          <c:idx val="0"/>
          <c:order val="1"/>
          <c:tx>
            <c:strRef>
              <c:f>'investissements (APII)'!$L$4</c:f>
              <c:strCache>
                <c:ptCount val="1"/>
                <c:pt idx="0">
                  <c:v>8 اشهر 2012</c:v>
                </c:pt>
              </c:strCache>
            </c:strRef>
          </c:tx>
          <c:dLbls>
            <c:dLbl>
              <c:idx val="0"/>
              <c:layout>
                <c:manualLayout>
                  <c:x val="7.3517760998561199E-3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7.5240235627630804E-3"/>
                  <c:y val="-6.2597809076682404E-3"/>
                </c:manualLayout>
              </c:layout>
              <c:showVal val="1"/>
            </c:dLbl>
            <c:dLbl>
              <c:idx val="2"/>
              <c:layout>
                <c:manualLayout>
                  <c:x val="8.2048214199097799E-3"/>
                  <c:y val="-1.8779342723004692E-2"/>
                </c:manualLayout>
              </c:layout>
              <c:showVal val="1"/>
            </c:dLbl>
            <c:dLbl>
              <c:idx val="3"/>
              <c:layout>
                <c:manualLayout>
                  <c:x val="8.7003292966202767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5.4757015742642207E-3"/>
                  <c:y val="0"/>
                </c:manualLayout>
              </c:layout>
              <c:showVal val="1"/>
            </c:dLbl>
            <c:showVal val="1"/>
          </c:dLbls>
          <c:cat>
            <c:strRef>
              <c:f>'investissements (APII)'!$N$6:$N$12</c:f>
              <c:strCache>
                <c:ptCount val="7"/>
                <c:pt idx="0">
                  <c:v>صناعات مواد البناء والخزف والبلور</c:v>
                </c:pt>
                <c:pt idx="1">
                  <c:v>الصناعات الغذائية</c:v>
                </c:pt>
                <c:pt idx="2">
                  <c:v>الصناعات الميكانيكية والكهربائية</c:v>
                </c:pt>
                <c:pt idx="3">
                  <c:v>الصناعات المختلفة</c:v>
                </c:pt>
                <c:pt idx="4">
                  <c:v>الصناعات الكيميائية</c:v>
                </c:pt>
                <c:pt idx="5">
                  <c:v>صناعة النسيج والملابس</c:v>
                </c:pt>
                <c:pt idx="6">
                  <c:v>صناعة الجلود والاحذية</c:v>
                </c:pt>
              </c:strCache>
            </c:strRef>
          </c:cat>
          <c:val>
            <c:numRef>
              <c:f>'investissements (APII)'!$L$6:$L$12</c:f>
              <c:numCache>
                <c:formatCode>0</c:formatCode>
                <c:ptCount val="7"/>
                <c:pt idx="0">
                  <c:v>310.10000000000002</c:v>
                </c:pt>
                <c:pt idx="1">
                  <c:v>1091.4000000000001</c:v>
                </c:pt>
                <c:pt idx="2">
                  <c:v>386.2</c:v>
                </c:pt>
                <c:pt idx="3">
                  <c:v>537.5</c:v>
                </c:pt>
                <c:pt idx="4">
                  <c:v>130.1</c:v>
                </c:pt>
                <c:pt idx="5">
                  <c:v>144.1</c:v>
                </c:pt>
                <c:pt idx="6">
                  <c:v>42.1</c:v>
                </c:pt>
              </c:numCache>
            </c:numRef>
          </c:val>
        </c:ser>
        <c:ser>
          <c:idx val="2"/>
          <c:order val="2"/>
          <c:tx>
            <c:strRef>
              <c:f>'investissements (APII)'!$M$4</c:f>
              <c:strCache>
                <c:ptCount val="1"/>
                <c:pt idx="0">
                  <c:v>8 اشهر 2010</c:v>
                </c:pt>
              </c:strCache>
            </c:strRef>
          </c:tx>
          <c:dLbls>
            <c:dLbl>
              <c:idx val="0"/>
              <c:layout>
                <c:manualLayout>
                  <c:x val="1.3689253935660509E-2"/>
                  <c:y val="5.7380662120654342E-17"/>
                </c:manualLayout>
              </c:layout>
              <c:showVal val="1"/>
            </c:dLbl>
            <c:dLbl>
              <c:idx val="1"/>
              <c:layout>
                <c:manualLayout>
                  <c:x val="9.5824777549624023E-3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9.5824777549624023E-3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9.5824777549624023E-3"/>
                  <c:y val="6.259780907668289E-3"/>
                </c:manualLayout>
              </c:layout>
              <c:showVal val="1"/>
            </c:dLbl>
            <c:dLbl>
              <c:idx val="4"/>
              <c:layout>
                <c:manualLayout>
                  <c:x val="6.8446269678302529E-3"/>
                  <c:y val="6.2597809076682404E-3"/>
                </c:manualLayout>
              </c:layout>
              <c:showVal val="1"/>
            </c:dLbl>
            <c:showVal val="1"/>
          </c:dLbls>
          <c:cat>
            <c:strRef>
              <c:f>'investissements (APII)'!$N$6:$N$12</c:f>
              <c:strCache>
                <c:ptCount val="7"/>
                <c:pt idx="0">
                  <c:v>صناعات مواد البناء والخزف والبلور</c:v>
                </c:pt>
                <c:pt idx="1">
                  <c:v>الصناعات الغذائية</c:v>
                </c:pt>
                <c:pt idx="2">
                  <c:v>الصناعات الميكانيكية والكهربائية</c:v>
                </c:pt>
                <c:pt idx="3">
                  <c:v>الصناعات المختلفة</c:v>
                </c:pt>
                <c:pt idx="4">
                  <c:v>الصناعات الكيميائية</c:v>
                </c:pt>
                <c:pt idx="5">
                  <c:v>صناعة النسيج والملابس</c:v>
                </c:pt>
                <c:pt idx="6">
                  <c:v>صناعة الجلود والاحذية</c:v>
                </c:pt>
              </c:strCache>
            </c:strRef>
          </c:cat>
          <c:val>
            <c:numRef>
              <c:f>'investissements (APII)'!$M$6:$M$12</c:f>
              <c:numCache>
                <c:formatCode>0</c:formatCode>
                <c:ptCount val="7"/>
                <c:pt idx="0">
                  <c:v>240.1</c:v>
                </c:pt>
                <c:pt idx="1">
                  <c:v>407.5</c:v>
                </c:pt>
                <c:pt idx="2">
                  <c:v>348.2</c:v>
                </c:pt>
                <c:pt idx="3">
                  <c:v>273.7</c:v>
                </c:pt>
                <c:pt idx="4">
                  <c:v>231</c:v>
                </c:pt>
                <c:pt idx="5">
                  <c:v>191.3</c:v>
                </c:pt>
                <c:pt idx="6">
                  <c:v>21.6</c:v>
                </c:pt>
              </c:numCache>
            </c:numRef>
          </c:val>
        </c:ser>
        <c:shape val="cylinder"/>
        <c:axId val="122123392"/>
        <c:axId val="122124928"/>
        <c:axId val="0"/>
      </c:bar3DChart>
      <c:catAx>
        <c:axId val="122123392"/>
        <c:scaling>
          <c:orientation val="minMax"/>
        </c:scaling>
        <c:axPos val="b"/>
        <c:tickLblPos val="nextTo"/>
        <c:crossAx val="122124928"/>
        <c:crosses val="autoZero"/>
        <c:auto val="1"/>
        <c:lblAlgn val="ctr"/>
        <c:lblOffset val="100"/>
      </c:catAx>
      <c:valAx>
        <c:axId val="122124928"/>
        <c:scaling>
          <c:orientation val="minMax"/>
        </c:scaling>
        <c:axPos val="l"/>
        <c:numFmt formatCode="0" sourceLinked="1"/>
        <c:tickLblPos val="nextTo"/>
        <c:crossAx val="122123392"/>
        <c:crosses val="autoZero"/>
        <c:crossBetween val="between"/>
      </c:valAx>
    </c:plotArea>
    <c:plotVisOnly val="1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'investissements (APII)'!$AH$57:$AI$57</c:f>
              <c:strCache>
                <c:ptCount val="1"/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fr-FR"/>
              </a:p>
            </c:txPr>
            <c:showVal val="1"/>
          </c:dLbls>
          <c:cat>
            <c:strRef>
              <c:f>'investissements (APII)'!$AJ$56:$AK$56</c:f>
              <c:strCache>
                <c:ptCount val="2"/>
                <c:pt idx="0">
                  <c:v>5 أشهر 2013</c:v>
                </c:pt>
                <c:pt idx="1">
                  <c:v>5 أشهر 2012</c:v>
                </c:pt>
              </c:strCache>
            </c:strRef>
          </c:cat>
          <c:val>
            <c:numRef>
              <c:f>'investissements (APII)'!$AJ$57:$AK$57</c:f>
              <c:numCache>
                <c:formatCode>General</c:formatCode>
                <c:ptCount val="2"/>
                <c:pt idx="0">
                  <c:v>1185.4000000000001</c:v>
                </c:pt>
                <c:pt idx="1">
                  <c:v>689.8</c:v>
                </c:pt>
              </c:numCache>
            </c:numRef>
          </c:val>
        </c:ser>
        <c:axId val="122332672"/>
        <c:axId val="122334208"/>
      </c:barChart>
      <c:catAx>
        <c:axId val="122332672"/>
        <c:scaling>
          <c:orientation val="minMax"/>
        </c:scaling>
        <c:axPos val="b"/>
        <c:tickLblPos val="nextTo"/>
        <c:crossAx val="122334208"/>
        <c:crosses val="autoZero"/>
        <c:auto val="1"/>
        <c:lblAlgn val="ctr"/>
        <c:lblOffset val="100"/>
      </c:catAx>
      <c:valAx>
        <c:axId val="122334208"/>
        <c:scaling>
          <c:orientation val="minMax"/>
        </c:scaling>
        <c:axPos val="l"/>
        <c:numFmt formatCode="General" sourceLinked="1"/>
        <c:tickLblPos val="nextTo"/>
        <c:crossAx val="122332672"/>
        <c:crosses val="autoZero"/>
        <c:crossBetween val="between"/>
      </c:valAx>
    </c:plotArea>
    <c:plotVisOnly val="1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autoTitleDeleted val="1"/>
    <c:plotArea>
      <c:layout>
        <c:manualLayout>
          <c:layoutTarget val="inner"/>
          <c:xMode val="edge"/>
          <c:yMode val="edge"/>
          <c:x val="2.27920227920228E-2"/>
          <c:y val="7.9223291533004114E-2"/>
          <c:w val="0.67966589646382658"/>
          <c:h val="0.73630472116911361"/>
        </c:manualLayout>
      </c:layout>
      <c:pieChart>
        <c:varyColors val="1"/>
        <c:ser>
          <c:idx val="0"/>
          <c:order val="0"/>
          <c:tx>
            <c:strRef>
              <c:f>'EX+Impt'!$K$4</c:f>
              <c:strCache>
                <c:ptCount val="1"/>
                <c:pt idx="0">
                  <c:v>8 اشهر 2013</c:v>
                </c:pt>
              </c:strCache>
            </c:strRef>
          </c:tx>
          <c:explosion val="15"/>
          <c:dPt>
            <c:idx val="0"/>
            <c:spPr>
              <a:solidFill>
                <a:srgbClr val="1F497D">
                  <a:lumMod val="20000"/>
                  <a:lumOff val="80000"/>
                </a:srgbClr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3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4"/>
            <c:spPr>
              <a:solidFill>
                <a:srgbClr val="FF9999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-7.4130904577098894E-2"/>
                  <c:y val="-0.1972502779651617"/>
                </c:manualLayout>
              </c:layout>
              <c:showVal val="1"/>
            </c:dLbl>
            <c:dLbl>
              <c:idx val="1"/>
              <c:layout>
                <c:manualLayout>
                  <c:x val="-0.11491081006034416"/>
                  <c:y val="-3.1596680287538113E-2"/>
                </c:manualLayout>
              </c:layout>
              <c:showVal val="1"/>
            </c:dLbl>
            <c:dLbl>
              <c:idx val="3"/>
              <c:layout>
                <c:manualLayout>
                  <c:x val="1.4188034188034188E-2"/>
                  <c:y val="-8.6279770584232543E-2"/>
                </c:manualLayout>
              </c:layout>
              <c:showVal val="1"/>
            </c:dLbl>
            <c:dLbl>
              <c:idx val="4"/>
              <c:layout>
                <c:manualLayout>
                  <c:x val="5.392646432016511E-2"/>
                  <c:y val="-1.783480768607628E-2"/>
                </c:manualLayout>
              </c:layout>
              <c:showVal val="1"/>
            </c:dLbl>
            <c:dLbl>
              <c:idx val="5"/>
              <c:layout>
                <c:manualLayout>
                  <c:x val="5.7591134441529114E-2"/>
                  <c:y val="9.2957454392275068E-2"/>
                </c:manualLayout>
              </c:layout>
              <c:showVal val="1"/>
            </c:dLbl>
            <c:dLbl>
              <c:idx val="6"/>
              <c:layout>
                <c:manualLayout>
                  <c:x val="9.9066334656885968E-2"/>
                  <c:y val="2.1604938271605412E-2"/>
                </c:manualLayout>
              </c:layout>
              <c:showVal val="1"/>
            </c:dLbl>
            <c:showVal val="1"/>
            <c:showLeaderLines val="1"/>
          </c:dLbls>
          <c:cat>
            <c:strRef>
              <c:f>'EX+Impt'!$N$6:$N$12</c:f>
              <c:strCache>
                <c:ptCount val="7"/>
                <c:pt idx="0">
                  <c:v>الصناعات الميكانيكية والكهربائية</c:v>
                </c:pt>
                <c:pt idx="1">
                  <c:v>صناعة النسيج والملابس</c:v>
                </c:pt>
                <c:pt idx="2">
                  <c:v>الصيناعات الكيميائية</c:v>
                </c:pt>
                <c:pt idx="3">
                  <c:v>الصناعات الغذائية</c:v>
                </c:pt>
                <c:pt idx="4">
                  <c:v>الصناعات المختلفة</c:v>
                </c:pt>
                <c:pt idx="5">
                  <c:v>صناعة الجلود والاحذية</c:v>
                </c:pt>
                <c:pt idx="6">
                  <c:v>صناعات مواد البناء والخزف والبلور</c:v>
                </c:pt>
              </c:strCache>
            </c:strRef>
          </c:cat>
          <c:val>
            <c:numRef>
              <c:f>'EX+Impt'!$K$6:$K$12</c:f>
              <c:numCache>
                <c:formatCode>0</c:formatCode>
                <c:ptCount val="7"/>
                <c:pt idx="0">
                  <c:v>6707.5</c:v>
                </c:pt>
                <c:pt idx="1">
                  <c:v>3487.7</c:v>
                </c:pt>
                <c:pt idx="2">
                  <c:v>1492.69</c:v>
                </c:pt>
                <c:pt idx="3">
                  <c:v>1392.521</c:v>
                </c:pt>
                <c:pt idx="4">
                  <c:v>875.93499999999995</c:v>
                </c:pt>
                <c:pt idx="5">
                  <c:v>709.2</c:v>
                </c:pt>
                <c:pt idx="6">
                  <c:v>271.72000000000003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'EX+Impt'!$C$4</c:f>
              <c:strCache>
                <c:ptCount val="1"/>
                <c:pt idx="0">
                  <c:v>8 mois 2012</c:v>
                </c:pt>
              </c:strCache>
            </c:strRef>
          </c:tx>
          <c:dLbls>
            <c:txPr>
              <a:bodyPr/>
              <a:lstStyle/>
              <a:p>
                <a:pPr>
                  <a:defRPr sz="1050"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'EX+Impt'!$A$6:$A$12</c:f>
              <c:strCache>
                <c:ptCount val="7"/>
                <c:pt idx="0">
                  <c:v>IME</c:v>
                </c:pt>
                <c:pt idx="1">
                  <c:v>ITH</c:v>
                </c:pt>
                <c:pt idx="2">
                  <c:v>ICH</c:v>
                </c:pt>
                <c:pt idx="3">
                  <c:v>IAA</c:v>
                </c:pt>
                <c:pt idx="4">
                  <c:v>ID</c:v>
                </c:pt>
                <c:pt idx="5">
                  <c:v>ICC</c:v>
                </c:pt>
                <c:pt idx="6">
                  <c:v>IMCCV</c:v>
                </c:pt>
              </c:strCache>
            </c:strRef>
          </c:cat>
          <c:val>
            <c:numRef>
              <c:f>'EX+Impt'!$C$6:$C$12</c:f>
              <c:numCache>
                <c:formatCode>0</c:formatCode>
                <c:ptCount val="7"/>
                <c:pt idx="0">
                  <c:v>6336.01</c:v>
                </c:pt>
                <c:pt idx="1">
                  <c:v>3281</c:v>
                </c:pt>
                <c:pt idx="2">
                  <c:v>1435.173</c:v>
                </c:pt>
                <c:pt idx="3">
                  <c:v>1188.913</c:v>
                </c:pt>
                <c:pt idx="4">
                  <c:v>815.70699999999999</c:v>
                </c:pt>
                <c:pt idx="5">
                  <c:v>679.6</c:v>
                </c:pt>
                <c:pt idx="6">
                  <c:v>209.82499999999999</c:v>
                </c:pt>
              </c:numCache>
            </c:numRef>
          </c:val>
        </c:ser>
        <c:ser>
          <c:idx val="1"/>
          <c:order val="1"/>
          <c:tx>
            <c:strRef>
              <c:f>'EX+Impt'!$D$4</c:f>
              <c:strCache>
                <c:ptCount val="1"/>
                <c:pt idx="0">
                  <c:v>8 mois 2013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8880866425992802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1660649819494601E-2"/>
                  <c:y val="5.3981106612685558E-3"/>
                </c:manualLayout>
              </c:layout>
              <c:showVal val="1"/>
            </c:dLbl>
            <c:dLbl>
              <c:idx val="2"/>
              <c:layout>
                <c:manualLayout>
                  <c:x val="1.4440433212996345E-2"/>
                  <c:y val="-5.3981106612685558E-3"/>
                </c:manualLayout>
              </c:layout>
              <c:showVal val="1"/>
            </c:dLbl>
            <c:dLbl>
              <c:idx val="3"/>
              <c:layout>
                <c:manualLayout>
                  <c:x val="2.1660649819494601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6847172081829127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1.4440433212996401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4440433212996401E-2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'EX+Impt'!$A$6:$A$12</c:f>
              <c:strCache>
                <c:ptCount val="7"/>
                <c:pt idx="0">
                  <c:v>IME</c:v>
                </c:pt>
                <c:pt idx="1">
                  <c:v>ITH</c:v>
                </c:pt>
                <c:pt idx="2">
                  <c:v>ICH</c:v>
                </c:pt>
                <c:pt idx="3">
                  <c:v>IAA</c:v>
                </c:pt>
                <c:pt idx="4">
                  <c:v>ID</c:v>
                </c:pt>
                <c:pt idx="5">
                  <c:v>ICC</c:v>
                </c:pt>
                <c:pt idx="6">
                  <c:v>IMCCV</c:v>
                </c:pt>
              </c:strCache>
            </c:strRef>
          </c:cat>
          <c:val>
            <c:numRef>
              <c:f>'EX+Impt'!$D$6:$D$12</c:f>
              <c:numCache>
                <c:formatCode>0</c:formatCode>
                <c:ptCount val="7"/>
                <c:pt idx="0">
                  <c:v>6707.5</c:v>
                </c:pt>
                <c:pt idx="1">
                  <c:v>3487.7</c:v>
                </c:pt>
                <c:pt idx="2">
                  <c:v>1492.69</c:v>
                </c:pt>
                <c:pt idx="3">
                  <c:v>1392.521</c:v>
                </c:pt>
                <c:pt idx="4">
                  <c:v>875.93499999999995</c:v>
                </c:pt>
                <c:pt idx="5">
                  <c:v>709.2</c:v>
                </c:pt>
                <c:pt idx="6">
                  <c:v>271.72000000000003</c:v>
                </c:pt>
              </c:numCache>
            </c:numRef>
          </c:val>
        </c:ser>
        <c:shape val="cylinder"/>
        <c:axId val="123039744"/>
        <c:axId val="123041280"/>
        <c:axId val="0"/>
      </c:bar3DChart>
      <c:catAx>
        <c:axId val="123039744"/>
        <c:scaling>
          <c:orientation val="minMax"/>
        </c:scaling>
        <c:axPos val="b"/>
        <c:tickLblPos val="nextTo"/>
        <c:crossAx val="123041280"/>
        <c:crosses val="autoZero"/>
        <c:auto val="1"/>
        <c:lblAlgn val="ctr"/>
        <c:lblOffset val="100"/>
      </c:catAx>
      <c:valAx>
        <c:axId val="123041280"/>
        <c:scaling>
          <c:orientation val="minMax"/>
        </c:scaling>
        <c:delete val="1"/>
        <c:axPos val="l"/>
        <c:numFmt formatCode="0" sourceLinked="1"/>
        <c:tickLblPos val="none"/>
        <c:crossAx val="12303974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2.3060796645702267E-2"/>
          <c:y val="0"/>
          <c:w val="0.95387840670860813"/>
          <c:h val="0.63167494447810413"/>
        </c:manualLayout>
      </c:layout>
      <c:bar3DChart>
        <c:barDir val="col"/>
        <c:grouping val="clustered"/>
        <c:ser>
          <c:idx val="0"/>
          <c:order val="0"/>
          <c:tx>
            <c:strRef>
              <c:f>'EX+Impt'!$L$4</c:f>
              <c:strCache>
                <c:ptCount val="1"/>
                <c:pt idx="0">
                  <c:v>8 اشهر 2012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'EX+Impt'!$N$6:$N$12</c:f>
              <c:strCache>
                <c:ptCount val="7"/>
                <c:pt idx="0">
                  <c:v>الصناعات الميكانيكية والكهربائية</c:v>
                </c:pt>
                <c:pt idx="1">
                  <c:v>صناعة النسيج والملابس</c:v>
                </c:pt>
                <c:pt idx="2">
                  <c:v>الصيناعات الكيميائية</c:v>
                </c:pt>
                <c:pt idx="3">
                  <c:v>الصناعات الغذائية</c:v>
                </c:pt>
                <c:pt idx="4">
                  <c:v>الصناعات المختلفة</c:v>
                </c:pt>
                <c:pt idx="5">
                  <c:v>صناعة الجلود والاحذية</c:v>
                </c:pt>
                <c:pt idx="6">
                  <c:v>صناعات مواد البناء والخزف والبلور</c:v>
                </c:pt>
              </c:strCache>
            </c:strRef>
          </c:cat>
          <c:val>
            <c:numRef>
              <c:f>'EX+Impt'!$L$6:$L$12</c:f>
              <c:numCache>
                <c:formatCode>0</c:formatCode>
                <c:ptCount val="7"/>
                <c:pt idx="0">
                  <c:v>6336.01</c:v>
                </c:pt>
                <c:pt idx="1">
                  <c:v>3281</c:v>
                </c:pt>
                <c:pt idx="2">
                  <c:v>1435.173</c:v>
                </c:pt>
                <c:pt idx="3">
                  <c:v>1188.913</c:v>
                </c:pt>
                <c:pt idx="4">
                  <c:v>815.70699999999999</c:v>
                </c:pt>
                <c:pt idx="5">
                  <c:v>679.6</c:v>
                </c:pt>
                <c:pt idx="6">
                  <c:v>209.82499999999999</c:v>
                </c:pt>
              </c:numCache>
            </c:numRef>
          </c:val>
        </c:ser>
        <c:ser>
          <c:idx val="1"/>
          <c:order val="1"/>
          <c:tx>
            <c:strRef>
              <c:f>'EX+Impt'!$K$4</c:f>
              <c:strCache>
                <c:ptCount val="1"/>
                <c:pt idx="0">
                  <c:v>8 اشهر 2013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3060796645702267E-2"/>
                  <c:y val="-1.923076923076962E-2"/>
                </c:manualLayout>
              </c:layout>
              <c:showVal val="1"/>
            </c:dLbl>
            <c:dLbl>
              <c:idx val="1"/>
              <c:layout>
                <c:manualLayout>
                  <c:x val="2.5157232704402552E-2"/>
                  <c:y val="-3.8461538461538464E-2"/>
                </c:manualLayout>
              </c:layout>
              <c:showVal val="1"/>
            </c:dLbl>
            <c:dLbl>
              <c:idx val="2"/>
              <c:layout>
                <c:manualLayout>
                  <c:x val="1.6771488469601723E-2"/>
                  <c:y val="-1.923076923076962E-2"/>
                </c:manualLayout>
              </c:layout>
              <c:showVal val="1"/>
            </c:dLbl>
            <c:dLbl>
              <c:idx val="3"/>
              <c:layout>
                <c:manualLayout>
                  <c:x val="1.4675052410901458E-2"/>
                  <c:y val="-3.205128205128209E-2"/>
                </c:manualLayout>
              </c:layout>
              <c:showVal val="1"/>
            </c:dLbl>
            <c:dLbl>
              <c:idx val="4"/>
              <c:layout>
                <c:manualLayout>
                  <c:x val="1.0482180293501328E-2"/>
                  <c:y val="-3.8461538461538464E-2"/>
                </c:manualLayout>
              </c:layout>
              <c:showVal val="1"/>
            </c:dLbl>
            <c:dLbl>
              <c:idx val="5"/>
              <c:layout>
                <c:manualLayout>
                  <c:x val="1.2578616352201033E-2"/>
                  <c:y val="-1.923076923076962E-2"/>
                </c:manualLayout>
              </c:layout>
              <c:showVal val="1"/>
            </c:dLbl>
            <c:dLbl>
              <c:idx val="6"/>
              <c:layout>
                <c:manualLayout>
                  <c:x val="2.3060796645702267E-2"/>
                  <c:y val="-1.923076923076962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'EX+Impt'!$N$6:$N$12</c:f>
              <c:strCache>
                <c:ptCount val="7"/>
                <c:pt idx="0">
                  <c:v>الصناعات الميكانيكية والكهربائية</c:v>
                </c:pt>
                <c:pt idx="1">
                  <c:v>صناعة النسيج والملابس</c:v>
                </c:pt>
                <c:pt idx="2">
                  <c:v>الصيناعات الكيميائية</c:v>
                </c:pt>
                <c:pt idx="3">
                  <c:v>الصناعات الغذائية</c:v>
                </c:pt>
                <c:pt idx="4">
                  <c:v>الصناعات المختلفة</c:v>
                </c:pt>
                <c:pt idx="5">
                  <c:v>صناعة الجلود والاحذية</c:v>
                </c:pt>
                <c:pt idx="6">
                  <c:v>صناعات مواد البناء والخزف والبلور</c:v>
                </c:pt>
              </c:strCache>
            </c:strRef>
          </c:cat>
          <c:val>
            <c:numRef>
              <c:f>'EX+Impt'!$K$6:$K$12</c:f>
              <c:numCache>
                <c:formatCode>0</c:formatCode>
                <c:ptCount val="7"/>
                <c:pt idx="0">
                  <c:v>6707.5</c:v>
                </c:pt>
                <c:pt idx="1">
                  <c:v>3487.7</c:v>
                </c:pt>
                <c:pt idx="2">
                  <c:v>1492.69</c:v>
                </c:pt>
                <c:pt idx="3">
                  <c:v>1392.521</c:v>
                </c:pt>
                <c:pt idx="4">
                  <c:v>875.93499999999995</c:v>
                </c:pt>
                <c:pt idx="5">
                  <c:v>709.2</c:v>
                </c:pt>
                <c:pt idx="6">
                  <c:v>271.72000000000003</c:v>
                </c:pt>
              </c:numCache>
            </c:numRef>
          </c:val>
        </c:ser>
        <c:shape val="cylinder"/>
        <c:axId val="123058816"/>
        <c:axId val="123064704"/>
        <c:axId val="0"/>
      </c:bar3DChart>
      <c:catAx>
        <c:axId val="123058816"/>
        <c:scaling>
          <c:orientation val="minMax"/>
        </c:scaling>
        <c:axPos val="b"/>
        <c:tickLblPos val="nextTo"/>
        <c:crossAx val="123064704"/>
        <c:crosses val="autoZero"/>
        <c:auto val="1"/>
        <c:lblAlgn val="ctr"/>
        <c:lblOffset val="100"/>
      </c:catAx>
      <c:valAx>
        <c:axId val="123064704"/>
        <c:scaling>
          <c:orientation val="minMax"/>
        </c:scaling>
        <c:delete val="1"/>
        <c:axPos val="l"/>
        <c:numFmt formatCode="0" sourceLinked="1"/>
        <c:tickLblPos val="none"/>
        <c:crossAx val="12305881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2.3060796645702267E-2"/>
          <c:y val="0"/>
          <c:w val="0.97693920335431095"/>
          <c:h val="0.70126432543039552"/>
        </c:manualLayout>
      </c:layout>
      <c:bar3DChart>
        <c:barDir val="col"/>
        <c:grouping val="clustered"/>
        <c:ser>
          <c:idx val="0"/>
          <c:order val="0"/>
          <c:tx>
            <c:strRef>
              <c:f>'EX+Impt'!$L$31</c:f>
              <c:strCache>
                <c:ptCount val="1"/>
                <c:pt idx="0">
                  <c:v>8 اشهر 2012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'EX+Impt'!$N$33:$N$39</c:f>
              <c:strCache>
                <c:ptCount val="7"/>
                <c:pt idx="0">
                  <c:v>الصناعات الميكانيكية والكهربائية</c:v>
                </c:pt>
                <c:pt idx="1">
                  <c:v>الصناعات الكيميائية</c:v>
                </c:pt>
                <c:pt idx="2">
                  <c:v>صناعة النسيج والملابس</c:v>
                </c:pt>
                <c:pt idx="3">
                  <c:v>الصناعات المختلفة</c:v>
                </c:pt>
                <c:pt idx="4">
                  <c:v>الصناعات الغذائية</c:v>
                </c:pt>
                <c:pt idx="5">
                  <c:v>صناعة الجلود والاحذية</c:v>
                </c:pt>
                <c:pt idx="6">
                  <c:v>صناعات مواد البناء والخزف والبلور</c:v>
                </c:pt>
              </c:strCache>
            </c:strRef>
          </c:cat>
          <c:val>
            <c:numRef>
              <c:f>'EX+Impt'!$L$33:$L$39</c:f>
              <c:numCache>
                <c:formatCode>0</c:formatCode>
                <c:ptCount val="7"/>
                <c:pt idx="0">
                  <c:v>10402</c:v>
                </c:pt>
                <c:pt idx="1">
                  <c:v>2819.1689999999999</c:v>
                </c:pt>
                <c:pt idx="2">
                  <c:v>2327.8000000000002</c:v>
                </c:pt>
                <c:pt idx="3">
                  <c:v>1525.9739999999999</c:v>
                </c:pt>
                <c:pt idx="4">
                  <c:v>1213.085</c:v>
                </c:pt>
                <c:pt idx="5">
                  <c:v>471.5</c:v>
                </c:pt>
                <c:pt idx="6" formatCode="0.0">
                  <c:v>297.51600000000002</c:v>
                </c:pt>
              </c:numCache>
            </c:numRef>
          </c:val>
        </c:ser>
        <c:ser>
          <c:idx val="1"/>
          <c:order val="1"/>
          <c:tx>
            <c:strRef>
              <c:f>'EX+Impt'!$K$31</c:f>
              <c:strCache>
                <c:ptCount val="1"/>
                <c:pt idx="0">
                  <c:v>8 اشهر 2013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3060631571996879E-2"/>
                  <c:y val="-5.3092123815102711E-3"/>
                </c:manualLayout>
              </c:layout>
              <c:showVal val="1"/>
            </c:dLbl>
            <c:dLbl>
              <c:idx val="1"/>
              <c:layout>
                <c:manualLayout>
                  <c:x val="1.8867924528301886E-2"/>
                  <c:y val="-1.2749976500871256E-2"/>
                </c:manualLayout>
              </c:layout>
              <c:showVal val="1"/>
            </c:dLbl>
            <c:dLbl>
              <c:idx val="2"/>
              <c:layout>
                <c:manualLayout>
                  <c:x val="1.8867924528301886E-2"/>
                  <c:y val="-8.2115355415284027E-3"/>
                </c:manualLayout>
              </c:layout>
              <c:showVal val="1"/>
            </c:dLbl>
            <c:dLbl>
              <c:idx val="3"/>
              <c:layout>
                <c:manualLayout>
                  <c:x val="2.5157232704402552E-2"/>
                  <c:y val="-2.1032081733584954E-2"/>
                </c:manualLayout>
              </c:layout>
              <c:showVal val="1"/>
            </c:dLbl>
            <c:dLbl>
              <c:idx val="4"/>
              <c:layout>
                <c:manualLayout>
                  <c:x val="1.4675052410901538E-2"/>
                  <c:y val="-9.0768819186859851E-3"/>
                </c:manualLayout>
              </c:layout>
              <c:showVal val="1"/>
            </c:dLbl>
            <c:dLbl>
              <c:idx val="5"/>
              <c:layout>
                <c:manualLayout>
                  <c:x val="1.2578616352201082E-2"/>
                  <c:y val="-8.6563559720324228E-4"/>
                </c:manualLayout>
              </c:layout>
              <c:showVal val="1"/>
            </c:dLbl>
            <c:dLbl>
              <c:idx val="6"/>
              <c:layout>
                <c:manualLayout>
                  <c:x val="2.3060796645702267E-2"/>
                  <c:y val="-4.5387301793887334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'EX+Impt'!$N$33:$N$39</c:f>
              <c:strCache>
                <c:ptCount val="7"/>
                <c:pt idx="0">
                  <c:v>الصناعات الميكانيكية والكهربائية</c:v>
                </c:pt>
                <c:pt idx="1">
                  <c:v>الصناعات الكيميائية</c:v>
                </c:pt>
                <c:pt idx="2">
                  <c:v>صناعة النسيج والملابس</c:v>
                </c:pt>
                <c:pt idx="3">
                  <c:v>الصناعات المختلفة</c:v>
                </c:pt>
                <c:pt idx="4">
                  <c:v>الصناعات الغذائية</c:v>
                </c:pt>
                <c:pt idx="5">
                  <c:v>صناعة الجلود والاحذية</c:v>
                </c:pt>
                <c:pt idx="6">
                  <c:v>صناعات مواد البناء والخزف والبلور</c:v>
                </c:pt>
              </c:strCache>
            </c:strRef>
          </c:cat>
          <c:val>
            <c:numRef>
              <c:f>'EX+Impt'!$K$33:$K$39</c:f>
              <c:numCache>
                <c:formatCode>0</c:formatCode>
                <c:ptCount val="7"/>
                <c:pt idx="0">
                  <c:v>10805.38</c:v>
                </c:pt>
                <c:pt idx="1">
                  <c:v>3086.5059999999999</c:v>
                </c:pt>
                <c:pt idx="2">
                  <c:v>2374.1999999999998</c:v>
                </c:pt>
                <c:pt idx="3">
                  <c:v>1561.383</c:v>
                </c:pt>
                <c:pt idx="4">
                  <c:v>1161.2049999999999</c:v>
                </c:pt>
                <c:pt idx="5">
                  <c:v>492.5</c:v>
                </c:pt>
                <c:pt idx="6" formatCode="0.0">
                  <c:v>301.42099999999999</c:v>
                </c:pt>
              </c:numCache>
            </c:numRef>
          </c:val>
        </c:ser>
        <c:shape val="cylinder"/>
        <c:axId val="122979840"/>
        <c:axId val="122981376"/>
        <c:axId val="0"/>
      </c:bar3DChart>
      <c:catAx>
        <c:axId val="122979840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2981376"/>
        <c:crosses val="autoZero"/>
        <c:auto val="1"/>
        <c:lblAlgn val="ctr"/>
        <c:lblOffset val="100"/>
      </c:catAx>
      <c:valAx>
        <c:axId val="122981376"/>
        <c:scaling>
          <c:orientation val="minMax"/>
        </c:scaling>
        <c:delete val="1"/>
        <c:axPos val="l"/>
        <c:numFmt formatCode="0" sourceLinked="1"/>
        <c:tickLblPos val="none"/>
        <c:crossAx val="122979840"/>
        <c:crosses val="autoZero"/>
        <c:crossBetween val="between"/>
      </c:valAx>
    </c:plotArea>
    <c:legend>
      <c:legendPos val="b"/>
      <c:txPr>
        <a:bodyPr/>
        <a:lstStyle/>
        <a:p>
          <a:pPr>
            <a:defRPr b="1"/>
          </a:pPr>
          <a:endParaRPr lang="fr-FR"/>
        </a:p>
      </c:txPr>
    </c:legend>
    <c:plotVisOnly val="1"/>
  </c:chart>
  <c:spPr>
    <a:scene3d>
      <a:camera prst="orthographicFront"/>
      <a:lightRig rig="threePt" dir="t"/>
    </a:scene3d>
    <a:sp3d>
      <a:bevelB w="165100"/>
    </a:sp3d>
  </c:spPr>
  <c:printSettings>
    <c:headerFooter/>
    <c:pageMargins b="0.75000000000000944" l="0.70000000000000062" r="0.70000000000000062" t="0.750000000000009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2.3060796645702267E-2"/>
          <c:y val="0"/>
          <c:w val="0.97693920335431128"/>
          <c:h val="0.70126432543039552"/>
        </c:manualLayout>
      </c:layout>
      <c:bar3DChart>
        <c:barDir val="col"/>
        <c:grouping val="clustered"/>
        <c:ser>
          <c:idx val="0"/>
          <c:order val="0"/>
          <c:tx>
            <c:strRef>
              <c:f>'EX+Impt'!$C$31</c:f>
              <c:strCache>
                <c:ptCount val="1"/>
                <c:pt idx="0">
                  <c:v>8 mois 2012</c:v>
                </c:pt>
              </c:strCache>
            </c:strRef>
          </c:tx>
          <c:dLbls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'EX+Impt'!$A$33:$A$39</c:f>
              <c:strCache>
                <c:ptCount val="7"/>
                <c:pt idx="0">
                  <c:v>IME</c:v>
                </c:pt>
                <c:pt idx="1">
                  <c:v>ICH</c:v>
                </c:pt>
                <c:pt idx="2">
                  <c:v>ITH</c:v>
                </c:pt>
                <c:pt idx="3">
                  <c:v>ID</c:v>
                </c:pt>
                <c:pt idx="4">
                  <c:v>IAA</c:v>
                </c:pt>
                <c:pt idx="5">
                  <c:v>ICC</c:v>
                </c:pt>
                <c:pt idx="6">
                  <c:v>IMCCV</c:v>
                </c:pt>
              </c:strCache>
            </c:strRef>
          </c:cat>
          <c:val>
            <c:numRef>
              <c:f>'EX+Impt'!$C$33:$C$39</c:f>
              <c:numCache>
                <c:formatCode>0</c:formatCode>
                <c:ptCount val="7"/>
                <c:pt idx="0">
                  <c:v>10402</c:v>
                </c:pt>
                <c:pt idx="1">
                  <c:v>2819.1689999999999</c:v>
                </c:pt>
                <c:pt idx="2">
                  <c:v>2327.8000000000002</c:v>
                </c:pt>
                <c:pt idx="3">
                  <c:v>1525.9739999999999</c:v>
                </c:pt>
                <c:pt idx="4">
                  <c:v>1213.085</c:v>
                </c:pt>
                <c:pt idx="5">
                  <c:v>471.5</c:v>
                </c:pt>
                <c:pt idx="6">
                  <c:v>297.51600000000002</c:v>
                </c:pt>
              </c:numCache>
            </c:numRef>
          </c:val>
        </c:ser>
        <c:ser>
          <c:idx val="1"/>
          <c:order val="1"/>
          <c:tx>
            <c:strRef>
              <c:f>'EX+Impt'!$D$31</c:f>
              <c:strCache>
                <c:ptCount val="1"/>
                <c:pt idx="0">
                  <c:v>8 mois 2013</c:v>
                </c:pt>
              </c:strCache>
            </c:strRef>
          </c:tx>
          <c:spPr>
            <a:solidFill>
              <a:srgbClr val="FF0000"/>
            </a:solidFill>
          </c:spPr>
          <c:dLbls>
            <c:dLbl>
              <c:idx val="0"/>
              <c:layout>
                <c:manualLayout>
                  <c:x val="2.3060631571996879E-2"/>
                  <c:y val="-5.3092123815102745E-3"/>
                </c:manualLayout>
              </c:layout>
              <c:showVal val="1"/>
            </c:dLbl>
            <c:dLbl>
              <c:idx val="1"/>
              <c:layout>
                <c:manualLayout>
                  <c:x val="1.8867924528301886E-2"/>
                  <c:y val="-1.2749976500871256E-2"/>
                </c:manualLayout>
              </c:layout>
              <c:showVal val="1"/>
            </c:dLbl>
            <c:dLbl>
              <c:idx val="2"/>
              <c:layout>
                <c:manualLayout>
                  <c:x val="1.8867924528301886E-2"/>
                  <c:y val="-8.2115355415284027E-3"/>
                </c:manualLayout>
              </c:layout>
              <c:showVal val="1"/>
            </c:dLbl>
            <c:dLbl>
              <c:idx val="3"/>
              <c:layout>
                <c:manualLayout>
                  <c:x val="2.5157232704402552E-2"/>
                  <c:y val="-2.1032081733584954E-2"/>
                </c:manualLayout>
              </c:layout>
              <c:showVal val="1"/>
            </c:dLbl>
            <c:dLbl>
              <c:idx val="4"/>
              <c:layout>
                <c:manualLayout>
                  <c:x val="1.4675052410901538E-2"/>
                  <c:y val="-9.0768819186859938E-3"/>
                </c:manualLayout>
              </c:layout>
              <c:showVal val="1"/>
            </c:dLbl>
            <c:dLbl>
              <c:idx val="5"/>
              <c:layout>
                <c:manualLayout>
                  <c:x val="1.2578616352201076E-2"/>
                  <c:y val="-8.6563559720324228E-4"/>
                </c:manualLayout>
              </c:layout>
              <c:showVal val="1"/>
            </c:dLbl>
            <c:dLbl>
              <c:idx val="6"/>
              <c:layout>
                <c:manualLayout>
                  <c:x val="2.3060796645702267E-2"/>
                  <c:y val="-4.5387301793887334E-3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'EX+Impt'!$A$33:$A$39</c:f>
              <c:strCache>
                <c:ptCount val="7"/>
                <c:pt idx="0">
                  <c:v>IME</c:v>
                </c:pt>
                <c:pt idx="1">
                  <c:v>ICH</c:v>
                </c:pt>
                <c:pt idx="2">
                  <c:v>ITH</c:v>
                </c:pt>
                <c:pt idx="3">
                  <c:v>ID</c:v>
                </c:pt>
                <c:pt idx="4">
                  <c:v>IAA</c:v>
                </c:pt>
                <c:pt idx="5">
                  <c:v>ICC</c:v>
                </c:pt>
                <c:pt idx="6">
                  <c:v>IMCCV</c:v>
                </c:pt>
              </c:strCache>
            </c:strRef>
          </c:cat>
          <c:val>
            <c:numRef>
              <c:f>'EX+Impt'!$D$33:$D$39</c:f>
              <c:numCache>
                <c:formatCode>0</c:formatCode>
                <c:ptCount val="7"/>
                <c:pt idx="0">
                  <c:v>10805.38</c:v>
                </c:pt>
                <c:pt idx="1">
                  <c:v>3086.5059999999999</c:v>
                </c:pt>
                <c:pt idx="2">
                  <c:v>2374.1999999999998</c:v>
                </c:pt>
                <c:pt idx="3">
                  <c:v>1561.383</c:v>
                </c:pt>
                <c:pt idx="4">
                  <c:v>1161.2049999999999</c:v>
                </c:pt>
                <c:pt idx="5">
                  <c:v>492.5</c:v>
                </c:pt>
                <c:pt idx="6">
                  <c:v>301.42099999999999</c:v>
                </c:pt>
              </c:numCache>
            </c:numRef>
          </c:val>
        </c:ser>
        <c:shape val="cylinder"/>
        <c:axId val="123163008"/>
        <c:axId val="123164544"/>
        <c:axId val="0"/>
      </c:bar3DChart>
      <c:catAx>
        <c:axId val="123163008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3164544"/>
        <c:crosses val="autoZero"/>
        <c:auto val="1"/>
        <c:lblAlgn val="ctr"/>
        <c:lblOffset val="100"/>
      </c:catAx>
      <c:valAx>
        <c:axId val="123164544"/>
        <c:scaling>
          <c:orientation val="minMax"/>
        </c:scaling>
        <c:delete val="1"/>
        <c:axPos val="l"/>
        <c:numFmt formatCode="0" sourceLinked="1"/>
        <c:tickLblPos val="none"/>
        <c:crossAx val="123163008"/>
        <c:crosses val="autoZero"/>
        <c:crossBetween val="between"/>
      </c:valAx>
    </c:plotArea>
    <c:legend>
      <c:legendPos val="b"/>
      <c:txPr>
        <a:bodyPr/>
        <a:lstStyle/>
        <a:p>
          <a:pPr>
            <a:defRPr b="1"/>
          </a:pPr>
          <a:endParaRPr lang="fr-FR"/>
        </a:p>
      </c:txPr>
    </c:legend>
    <c:plotVisOnly val="1"/>
  </c:chart>
  <c:spPr>
    <a:scene3d>
      <a:camera prst="orthographicFront"/>
      <a:lightRig rig="threePt" dir="t"/>
    </a:scene3d>
    <a:sp3d>
      <a:bevelB w="165100"/>
    </a:sp3d>
  </c:spPr>
  <c:printSettings>
    <c:headerFooter/>
    <c:pageMargins b="0.75000000000000966" l="0.70000000000000062" r="0.70000000000000062" t="0.7500000000000096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10"/>
      <c:rotY val="10"/>
      <c:depthPercent val="100"/>
      <c:rAngAx val="1"/>
    </c:view3D>
    <c:plotArea>
      <c:layout>
        <c:manualLayout>
          <c:layoutTarget val="inner"/>
          <c:xMode val="edge"/>
          <c:yMode val="edge"/>
          <c:x val="0.10312739328636551"/>
          <c:y val="7.7954928047787128E-2"/>
          <c:w val="0.89581846019247591"/>
          <c:h val="0.72410643497149074"/>
        </c:manualLayout>
      </c:layout>
      <c:bar3DChart>
        <c:barDir val="col"/>
        <c:grouping val="clustered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  <a:effectLst>
              <a:outerShdw sx="1000" sy="1000" algn="ctr" rotWithShape="0">
                <a:srgbClr val="000000"/>
              </a:outerShdw>
            </a:effectLst>
          </c:spPr>
          <c:dLbls>
            <c:dLbl>
              <c:idx val="0"/>
              <c:layout>
                <c:manualLayout>
                  <c:x val="1.9753091220251585E-2"/>
                  <c:y val="-2.4509803921568651E-2"/>
                </c:manualLayout>
              </c:layout>
              <c:showVal val="1"/>
            </c:dLbl>
            <c:dLbl>
              <c:idx val="1"/>
              <c:layout>
                <c:manualLayout>
                  <c:x val="2.2428069998072807E-2"/>
                  <c:y val="-2.4509803921568631E-2"/>
                </c:manualLayout>
              </c:layout>
              <c:showVal val="1"/>
            </c:dLbl>
            <c:dLbl>
              <c:idx val="2"/>
              <c:layout>
                <c:manualLayout>
                  <c:x val="1.4197534314555841E-2"/>
                  <c:y val="-1.9607843137254902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'EX+Impt'!$B$64:$D$64</c:f>
              <c:strCache>
                <c:ptCount val="3"/>
                <c:pt idx="0">
                  <c:v>08 mois 2010</c:v>
                </c:pt>
                <c:pt idx="1">
                  <c:v>08 mois 2012</c:v>
                </c:pt>
                <c:pt idx="2">
                  <c:v>0 mois 2013</c:v>
                </c:pt>
              </c:strCache>
            </c:strRef>
          </c:cat>
          <c:val>
            <c:numRef>
              <c:f>'EX+Impt'!$B$65:$D$65</c:f>
              <c:numCache>
                <c:formatCode>0</c:formatCode>
                <c:ptCount val="3"/>
                <c:pt idx="0">
                  <c:v>12524.8</c:v>
                </c:pt>
                <c:pt idx="1">
                  <c:v>13946.227999999999</c:v>
                </c:pt>
                <c:pt idx="2">
                  <c:v>14937.266</c:v>
                </c:pt>
              </c:numCache>
            </c:numRef>
          </c:val>
        </c:ser>
        <c:shape val="box"/>
        <c:axId val="123211136"/>
        <c:axId val="123229312"/>
        <c:axId val="0"/>
      </c:bar3DChart>
      <c:catAx>
        <c:axId val="123211136"/>
        <c:scaling>
          <c:orientation val="minMax"/>
        </c:scaling>
        <c:axPos val="b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3229312"/>
        <c:crosses val="autoZero"/>
        <c:auto val="1"/>
        <c:lblAlgn val="ctr"/>
        <c:lblOffset val="100"/>
      </c:catAx>
      <c:valAx>
        <c:axId val="123229312"/>
        <c:scaling>
          <c:orientation val="minMax"/>
          <c:max val="16000"/>
          <c:min val="0"/>
        </c:scaling>
        <c:axPos val="l"/>
        <c:numFmt formatCode="0" sourceLinked="1"/>
        <c:tickLblPos val="nextTo"/>
        <c:crossAx val="123211136"/>
        <c:crosses val="autoZero"/>
        <c:crossBetween val="between"/>
        <c:majorUnit val="5000"/>
      </c:valAx>
    </c:plotArea>
    <c:plotVisOnly val="1"/>
  </c:chart>
  <c:spPr>
    <a:scene3d>
      <a:camera prst="orthographicFront"/>
      <a:lightRig rig="threePt" dir="t"/>
    </a:scene3d>
    <a:sp3d>
      <a:bevelB w="165100" h="0"/>
    </a:sp3d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Répartition des Entreprises cértifiées par secteur</a:t>
            </a:r>
          </a:p>
        </c:rich>
      </c:tx>
      <c:layout>
        <c:manualLayout>
          <c:xMode val="edge"/>
          <c:yMode val="edge"/>
          <c:x val="0.24391446367010342"/>
          <c:y val="2.5240278700102252E-2"/>
        </c:manualLayout>
      </c:layout>
      <c:spPr>
        <a:noFill/>
        <a:ln w="25400">
          <a:noFill/>
        </a:ln>
      </c:spPr>
    </c:title>
    <c:view3D>
      <c:rotX val="50"/>
      <c:rotY val="140"/>
      <c:depthPercent val="100"/>
      <c:rAngAx val="1"/>
    </c:view3D>
    <c:floor>
      <c:spPr>
        <a:solidFill>
          <a:sysClr val="window" lastClr="FFFFFF">
            <a:alpha val="51000"/>
          </a:sysClr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ysClr val="window" lastClr="FFFFFF">
            <a:alpha val="32000"/>
          </a:sysClr>
        </a:solidFill>
        <a:ln w="38100">
          <a:solidFill>
            <a:srgbClr val="808080"/>
          </a:solidFill>
          <a:prstDash val="solid"/>
        </a:ln>
      </c:spPr>
    </c:sideWall>
    <c:backWall>
      <c:spPr>
        <a:solidFill>
          <a:sysClr val="window" lastClr="FFFFFF">
            <a:alpha val="32000"/>
          </a:sysClr>
        </a:solidFill>
        <a:ln w="381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8655842798411564E-3"/>
          <c:y val="0.1128417120936806"/>
          <c:w val="0.99574431514644768"/>
          <c:h val="0.80184769322607741"/>
        </c:manualLayout>
      </c:layout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7.3502388827637417E-3"/>
                  <c:y val="-0.14814814814814894"/>
                </c:manualLayout>
              </c:layout>
              <c:showVal val="1"/>
            </c:dLbl>
            <c:dLbl>
              <c:idx val="1"/>
              <c:layout>
                <c:manualLayout>
                  <c:x val="4.4101433296582174E-3"/>
                  <c:y val="-7.1330589849108922E-2"/>
                </c:manualLayout>
              </c:layout>
              <c:showVal val="1"/>
            </c:dLbl>
            <c:dLbl>
              <c:idx val="2"/>
              <c:layout>
                <c:manualLayout>
                  <c:x val="8.8202866593165164E-3"/>
                  <c:y val="-1.6460905349794348E-2"/>
                </c:manualLayout>
              </c:layout>
              <c:showVal val="1"/>
            </c:dLbl>
            <c:dLbl>
              <c:idx val="3"/>
              <c:layout>
                <c:manualLayout>
                  <c:x val="5.8800753544175233E-3"/>
                  <c:y val="-5.4869684499314602E-3"/>
                </c:manualLayout>
              </c:layout>
              <c:showVal val="1"/>
            </c:dLbl>
            <c:dLbl>
              <c:idx val="4"/>
              <c:layout>
                <c:manualLayout>
                  <c:x val="2.9400955531054852E-3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7.3502388827637417E-3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4.4101433296582174E-3"/>
                  <c:y val="-5.4869684499313752E-3"/>
                </c:manualLayout>
              </c:layout>
              <c:showVal val="1"/>
            </c:dLbl>
            <c:dLbl>
              <c:idx val="7"/>
              <c:layout>
                <c:manualLayout>
                  <c:x val="4.4101433296582174E-3"/>
                  <c:y val="-1.6460905349794348E-2"/>
                </c:manualLayout>
              </c:layout>
              <c:showVal val="1"/>
            </c:dLbl>
            <c:dLbl>
              <c:idx val="8"/>
              <c:layout>
                <c:manualLayout>
                  <c:x val="5.8801911062110824E-3"/>
                  <c:y val="-3.292181069958848E-2"/>
                </c:manualLayout>
              </c:layout>
              <c:showVal val="1"/>
            </c:dLbl>
            <c:dLbl>
              <c:idx val="9"/>
              <c:layout>
                <c:manualLayout>
                  <c:x val="8.8495575221240862E-3"/>
                  <c:y val="-4.3321299638989168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qualité!$F$14:$O$14</c:f>
              <c:strCache>
                <c:ptCount val="10"/>
                <c:pt idx="0">
                  <c:v>Services</c:v>
                </c:pt>
                <c:pt idx="1">
                  <c:v>IME</c:v>
                </c:pt>
                <c:pt idx="2">
                  <c:v>ICH</c:v>
                </c:pt>
                <c:pt idx="3">
                  <c:v>IAA</c:v>
                </c:pt>
                <c:pt idx="4">
                  <c:v>IMCCV</c:v>
                </c:pt>
                <c:pt idx="5">
                  <c:v>NTIC</c:v>
                </c:pt>
                <c:pt idx="6">
                  <c:v>ITH</c:v>
                </c:pt>
                <c:pt idx="7">
                  <c:v>IEmb</c:v>
                </c:pt>
                <c:pt idx="8">
                  <c:v>IBA</c:v>
                </c:pt>
                <c:pt idx="9">
                  <c:v>ICC</c:v>
                </c:pt>
              </c:strCache>
            </c:strRef>
          </c:cat>
          <c:val>
            <c:numRef>
              <c:f>qualité!$F$15:$O$15</c:f>
              <c:numCache>
                <c:formatCode>General</c:formatCode>
                <c:ptCount val="10"/>
                <c:pt idx="0">
                  <c:v>696</c:v>
                </c:pt>
                <c:pt idx="1">
                  <c:v>477</c:v>
                </c:pt>
                <c:pt idx="2">
                  <c:v>345</c:v>
                </c:pt>
                <c:pt idx="3">
                  <c:v>167</c:v>
                </c:pt>
                <c:pt idx="4">
                  <c:v>90</c:v>
                </c:pt>
                <c:pt idx="5">
                  <c:v>71</c:v>
                </c:pt>
                <c:pt idx="6">
                  <c:v>64</c:v>
                </c:pt>
                <c:pt idx="7">
                  <c:v>52</c:v>
                </c:pt>
                <c:pt idx="8">
                  <c:v>34</c:v>
                </c:pt>
                <c:pt idx="9">
                  <c:v>9</c:v>
                </c:pt>
              </c:numCache>
            </c:numRef>
          </c:val>
        </c:ser>
        <c:shape val="cylinder"/>
        <c:axId val="123097472"/>
        <c:axId val="123099008"/>
        <c:axId val="0"/>
      </c:bar3DChart>
      <c:catAx>
        <c:axId val="1230974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099008"/>
        <c:crosses val="autoZero"/>
        <c:auto val="1"/>
        <c:lblAlgn val="ctr"/>
        <c:lblOffset val="100"/>
        <c:tickLblSkip val="1"/>
        <c:tickMarkSkip val="1"/>
      </c:catAx>
      <c:valAx>
        <c:axId val="123099008"/>
        <c:scaling>
          <c:orientation val="minMax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olid"/>
            </a:ln>
          </c:spPr>
        </c:majorGridlines>
        <c:numFmt formatCode="General" sourceLinked="1"/>
        <c:tickLblPos val="none"/>
        <c:crossAx val="123097472"/>
        <c:crosses val="min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EEECE1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572" footer="0.49212598450000572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0"/>
      <c:rotY val="10"/>
      <c:depthPercent val="150"/>
      <c:rAngAx val="1"/>
    </c:view3D>
    <c:floor>
      <c:spPr>
        <a:solidFill>
          <a:srgbClr val="FFFF00">
            <a:alpha val="18000"/>
          </a:srgbClr>
        </a:solidFill>
      </c:spPr>
    </c:floor>
    <c:plotArea>
      <c:layout>
        <c:manualLayout>
          <c:layoutTarget val="inner"/>
          <c:xMode val="edge"/>
          <c:yMode val="edge"/>
          <c:x val="8.1642517948762497E-2"/>
          <c:y val="6.3492063492063502E-2"/>
          <c:w val="0.8984569707176796"/>
          <c:h val="0.64607566639722236"/>
        </c:manualLayout>
      </c:layout>
      <c:bar3DChart>
        <c:barDir val="col"/>
        <c:grouping val="clustered"/>
        <c:ser>
          <c:idx val="0"/>
          <c:order val="0"/>
          <c:tx>
            <c:strRef>
              <c:f>IDE!$L$8</c:f>
              <c:strCache>
                <c:ptCount val="1"/>
                <c:pt idx="0">
                  <c:v>I.man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-3.4269475962693252E-3"/>
                  <c:y val="0.13271019829745825"/>
                </c:manualLayout>
              </c:layout>
              <c:showVal val="1"/>
            </c:dLbl>
            <c:dLbl>
              <c:idx val="1"/>
              <c:layout>
                <c:manualLayout>
                  <c:x val="9.8035981444987708E-3"/>
                  <c:y val="0.1179409798109837"/>
                </c:manualLayout>
              </c:layout>
              <c:showVal val="1"/>
            </c:dLbl>
            <c:dLbl>
              <c:idx val="2"/>
              <c:layout>
                <c:manualLayout>
                  <c:x val="8.2125897438123548E-4"/>
                  <c:y val="0.12808039679450714"/>
                </c:manualLayout>
              </c:layout>
              <c:showVal val="1"/>
            </c:dLbl>
            <c:dLbl>
              <c:idx val="3"/>
              <c:layout>
                <c:manualLayout>
                  <c:x val="5.8803068580043812E-3"/>
                  <c:y val="0.12838857120046307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IDE!$M$7:$P$7</c:f>
              <c:strCache>
                <c:ptCount val="4"/>
                <c:pt idx="0">
                  <c:v>08 mois 2010</c:v>
                </c:pt>
                <c:pt idx="1">
                  <c:v>08 mois 2011</c:v>
                </c:pt>
                <c:pt idx="2">
                  <c:v>08 mois 2012</c:v>
                </c:pt>
                <c:pt idx="3">
                  <c:v>08 mois 2013</c:v>
                </c:pt>
              </c:strCache>
            </c:strRef>
          </c:cat>
          <c:val>
            <c:numRef>
              <c:f>IDE!$M$8:$P$8</c:f>
              <c:numCache>
                <c:formatCode>0</c:formatCode>
                <c:ptCount val="4"/>
                <c:pt idx="0">
                  <c:v>305.10000000000002</c:v>
                </c:pt>
                <c:pt idx="1">
                  <c:v>245.2</c:v>
                </c:pt>
                <c:pt idx="2">
                  <c:v>313.39999999999998</c:v>
                </c:pt>
                <c:pt idx="3">
                  <c:v>320</c:v>
                </c:pt>
              </c:numCache>
            </c:numRef>
          </c:val>
        </c:ser>
        <c:ser>
          <c:idx val="1"/>
          <c:order val="1"/>
          <c:tx>
            <c:strRef>
              <c:f>IDE!$L$9</c:f>
              <c:strCache>
                <c:ptCount val="1"/>
                <c:pt idx="0">
                  <c:v>Energie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5.3934548148405394E-3"/>
                  <c:y val="0.14240970829216895"/>
                </c:manualLayout>
              </c:layout>
              <c:showVal val="1"/>
            </c:dLbl>
            <c:dLbl>
              <c:idx val="1"/>
              <c:layout>
                <c:manualLayout>
                  <c:x val="2.4532435099416392E-3"/>
                  <c:y val="0.14196940211371126"/>
                </c:manualLayout>
              </c:layout>
              <c:showVal val="1"/>
            </c:dLbl>
            <c:dLbl>
              <c:idx val="2"/>
              <c:layout>
                <c:manualLayout>
                  <c:x val="8.3334346161528395E-3"/>
                  <c:y val="0.14240970829216895"/>
                </c:manualLayout>
              </c:layout>
              <c:showVal val="1"/>
            </c:dLbl>
            <c:dLbl>
              <c:idx val="3"/>
              <c:layout>
                <c:manualLayout>
                  <c:x val="7.483121941620781E-3"/>
                  <c:y val="0.12963963154795771"/>
                </c:manualLayout>
              </c:layout>
              <c:showVal val="1"/>
            </c:dLbl>
            <c:spPr>
              <a:noFill/>
            </c:spPr>
            <c:txPr>
              <a:bodyPr/>
              <a:lstStyle/>
              <a:p>
                <a:pPr>
                  <a:defRPr sz="11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IDE!$M$7:$P$7</c:f>
              <c:strCache>
                <c:ptCount val="4"/>
                <c:pt idx="0">
                  <c:v>08 mois 2010</c:v>
                </c:pt>
                <c:pt idx="1">
                  <c:v>08 mois 2011</c:v>
                </c:pt>
                <c:pt idx="2">
                  <c:v>08 mois 2012</c:v>
                </c:pt>
                <c:pt idx="3">
                  <c:v>08 mois 2013</c:v>
                </c:pt>
              </c:strCache>
            </c:strRef>
          </c:cat>
          <c:val>
            <c:numRef>
              <c:f>IDE!$M$9:$P$9</c:f>
              <c:numCache>
                <c:formatCode>0</c:formatCode>
                <c:ptCount val="4"/>
                <c:pt idx="0">
                  <c:v>860</c:v>
                </c:pt>
                <c:pt idx="1">
                  <c:v>720</c:v>
                </c:pt>
                <c:pt idx="2">
                  <c:v>590</c:v>
                </c:pt>
                <c:pt idx="3">
                  <c:v>580</c:v>
                </c:pt>
              </c:numCache>
            </c:numRef>
          </c:val>
        </c:ser>
        <c:ser>
          <c:idx val="2"/>
          <c:order val="2"/>
          <c:tx>
            <c:strRef>
              <c:f>IDE!$L$10</c:f>
              <c:strCache>
                <c:ptCount val="1"/>
                <c:pt idx="0">
                  <c:v>Total des IDE (MD)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0"/>
              <c:layout>
                <c:manualLayout>
                  <c:x val="8.3334346161528395E-3"/>
                  <c:y val="0.13689969362194745"/>
                </c:manualLayout>
              </c:layout>
              <c:showVal val="1"/>
            </c:dLbl>
            <c:dLbl>
              <c:idx val="1"/>
              <c:layout>
                <c:manualLayout>
                  <c:x val="6.8635025913932933E-3"/>
                  <c:y val="0.13513926728740674"/>
                </c:manualLayout>
              </c:layout>
              <c:showVal val="1"/>
            </c:dLbl>
            <c:dLbl>
              <c:idx val="2"/>
              <c:layout>
                <c:manualLayout>
                  <c:x val="1.0948962140482165E-2"/>
                  <c:y val="0.13094977196291541"/>
                </c:manualLayout>
              </c:layout>
              <c:showVal val="1"/>
            </c:dLbl>
            <c:dLbl>
              <c:idx val="3"/>
              <c:layout>
                <c:manualLayout>
                  <c:x val="9.3505456250164848E-3"/>
                  <c:y val="0.14313663263574938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IDE!$M$7:$P$7</c:f>
              <c:strCache>
                <c:ptCount val="4"/>
                <c:pt idx="0">
                  <c:v>08 mois 2010</c:v>
                </c:pt>
                <c:pt idx="1">
                  <c:v>08 mois 2011</c:v>
                </c:pt>
                <c:pt idx="2">
                  <c:v>08 mois 2012</c:v>
                </c:pt>
                <c:pt idx="3">
                  <c:v>08 mois 2013</c:v>
                </c:pt>
              </c:strCache>
            </c:strRef>
          </c:cat>
          <c:val>
            <c:numRef>
              <c:f>IDE!$M$10:$P$10</c:f>
              <c:numCache>
                <c:formatCode>0</c:formatCode>
                <c:ptCount val="4"/>
                <c:pt idx="0">
                  <c:v>1337.3</c:v>
                </c:pt>
                <c:pt idx="1">
                  <c:v>1099.4000000000001</c:v>
                </c:pt>
                <c:pt idx="2">
                  <c:v>1095.4000000000001</c:v>
                </c:pt>
                <c:pt idx="3">
                  <c:v>1087.5</c:v>
                </c:pt>
              </c:numCache>
            </c:numRef>
          </c:val>
        </c:ser>
        <c:shape val="cylinder"/>
        <c:axId val="123425536"/>
        <c:axId val="123427072"/>
        <c:axId val="0"/>
      </c:bar3DChart>
      <c:catAx>
        <c:axId val="123425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3427072"/>
        <c:crosses val="autoZero"/>
        <c:auto val="1"/>
        <c:lblAlgn val="ctr"/>
        <c:lblOffset val="100"/>
      </c:catAx>
      <c:valAx>
        <c:axId val="123427072"/>
        <c:scaling>
          <c:orientation val="minMax"/>
          <c:max val="1400"/>
          <c:min val="0"/>
        </c:scaling>
        <c:axPos val="l"/>
        <c:majorGridlines/>
        <c:numFmt formatCode="0" sourceLinked="1"/>
        <c:tickLblPos val="none"/>
        <c:spPr>
          <a:ln>
            <a:noFill/>
          </a:ln>
        </c:spPr>
        <c:crossAx val="123425536"/>
        <c:crosses val="min"/>
        <c:crossBetween val="between"/>
      </c:valAx>
    </c:plotArea>
    <c:legend>
      <c:legendPos val="b"/>
      <c:txPr>
        <a:bodyPr/>
        <a:lstStyle/>
        <a:p>
          <a:pPr>
            <a:defRPr sz="1200" b="0"/>
          </a:pPr>
          <a:endParaRPr lang="fr-FR"/>
        </a:p>
      </c:txPr>
    </c:legend>
    <c:plotVisOnly val="1"/>
    <c:dispBlanksAs val="gap"/>
  </c:chart>
  <c:spPr>
    <a:scene3d>
      <a:camera prst="orthographicFront"/>
      <a:lightRig rig="threePt" dir="t"/>
    </a:scene3d>
    <a:sp3d>
      <a:bevelT w="285750" h="0"/>
      <a:bevelB w="234950" h="0"/>
    </a:sp3d>
  </c:spPr>
  <c:printSettings>
    <c:headerFooter/>
    <c:pageMargins b="0.75000000000001199" l="0.70000000000000062" r="0.70000000000000062" t="0.750000000000011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0"/>
          <c:y val="0.12854677165354317"/>
          <c:w val="1"/>
          <c:h val="0.64704957334879787"/>
        </c:manualLayout>
      </c:layout>
      <c:bar3DChart>
        <c:barDir val="col"/>
        <c:grouping val="clustered"/>
        <c:ser>
          <c:idx val="0"/>
          <c:order val="0"/>
          <c:tx>
            <c:strRef>
              <c:f>Mines!$F$57</c:f>
              <c:strCache>
                <c:ptCount val="1"/>
                <c:pt idx="0">
                  <c:v>8 mois 2013</c:v>
                </c:pt>
              </c:strCache>
            </c:strRef>
          </c:tx>
          <c:dLbls>
            <c:showVal val="1"/>
          </c:dLbls>
          <c:cat>
            <c:strRef>
              <c:f>Mines!$C$60:$C$64</c:f>
              <c:strCache>
                <c:ptCount val="5"/>
                <c:pt idx="0">
                  <c:v>DAP</c:v>
                </c:pt>
                <c:pt idx="1">
                  <c:v>TSP</c:v>
                </c:pt>
                <c:pt idx="2">
                  <c:v>Acide Phosphorique 54%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Mines!$F$60:$F$64</c:f>
              <c:numCache>
                <c:formatCode>#,##0</c:formatCode>
                <c:ptCount val="5"/>
                <c:pt idx="0">
                  <c:v>351.07299999999998</c:v>
                </c:pt>
                <c:pt idx="1">
                  <c:v>305.74</c:v>
                </c:pt>
                <c:pt idx="2">
                  <c:v>179.828</c:v>
                </c:pt>
                <c:pt idx="3">
                  <c:v>85.284999999999997</c:v>
                </c:pt>
                <c:pt idx="4" formatCode="0">
                  <c:v>10.8</c:v>
                </c:pt>
              </c:numCache>
            </c:numRef>
          </c:val>
        </c:ser>
        <c:ser>
          <c:idx val="1"/>
          <c:order val="1"/>
          <c:tx>
            <c:strRef>
              <c:f>Mines!$E$57</c:f>
              <c:strCache>
                <c:ptCount val="1"/>
                <c:pt idx="0">
                  <c:v>8 mois 2012</c:v>
                </c:pt>
              </c:strCache>
            </c:strRef>
          </c:tx>
          <c:dLbls>
            <c:dLbl>
              <c:idx val="0"/>
              <c:layout>
                <c:manualLayout>
                  <c:x val="1.7348203221809171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8.8284571457321829E-3"/>
                  <c:y val="6.4723727715853899E-3"/>
                </c:manualLayout>
              </c:layout>
              <c:showVal val="1"/>
            </c:dLbl>
            <c:dLbl>
              <c:idx val="2"/>
              <c:layout>
                <c:manualLayout>
                  <c:x val="2.0903457355370574E-3"/>
                  <c:y val="-6.4723727715853899E-3"/>
                </c:manualLayout>
              </c:layout>
              <c:showVal val="1"/>
            </c:dLbl>
            <c:showVal val="1"/>
          </c:dLbls>
          <c:cat>
            <c:strRef>
              <c:f>Mines!$C$60:$C$64</c:f>
              <c:strCache>
                <c:ptCount val="5"/>
                <c:pt idx="0">
                  <c:v>DAP</c:v>
                </c:pt>
                <c:pt idx="1">
                  <c:v>TSP</c:v>
                </c:pt>
                <c:pt idx="2">
                  <c:v>Acide Phosphorique 54%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Mines!$E$60:$E$64</c:f>
              <c:numCache>
                <c:formatCode>#,##0</c:formatCode>
                <c:ptCount val="5"/>
                <c:pt idx="0">
                  <c:v>384.77800000000002</c:v>
                </c:pt>
                <c:pt idx="1">
                  <c:v>330.995</c:v>
                </c:pt>
                <c:pt idx="2">
                  <c:v>176.268</c:v>
                </c:pt>
                <c:pt idx="3">
                  <c:v>74.521000000000001</c:v>
                </c:pt>
                <c:pt idx="4">
                  <c:v>19.3</c:v>
                </c:pt>
              </c:numCache>
            </c:numRef>
          </c:val>
        </c:ser>
        <c:ser>
          <c:idx val="2"/>
          <c:order val="2"/>
          <c:tx>
            <c:strRef>
              <c:f>Mines!$D$57</c:f>
              <c:strCache>
                <c:ptCount val="1"/>
                <c:pt idx="0">
                  <c:v>8 mois 2010</c:v>
                </c:pt>
              </c:strCache>
            </c:strRef>
          </c:tx>
          <c:dLbls>
            <c:dLbl>
              <c:idx val="0"/>
              <c:layout>
                <c:manualLayout>
                  <c:x val="1.9169329073482486E-2"/>
                  <c:y val="0"/>
                </c:manualLayout>
              </c:layout>
              <c:showVal val="1"/>
            </c:dLbl>
            <c:showVal val="1"/>
          </c:dLbls>
          <c:cat>
            <c:strRef>
              <c:f>Mines!$C$60:$C$64</c:f>
              <c:strCache>
                <c:ptCount val="5"/>
                <c:pt idx="0">
                  <c:v>DAP</c:v>
                </c:pt>
                <c:pt idx="1">
                  <c:v>TSP</c:v>
                </c:pt>
                <c:pt idx="2">
                  <c:v>Acide Phosphorique 54%</c:v>
                </c:pt>
                <c:pt idx="3">
                  <c:v>STPP</c:v>
                </c:pt>
                <c:pt idx="4">
                  <c:v>DCP</c:v>
                </c:pt>
              </c:strCache>
            </c:strRef>
          </c:cat>
          <c:val>
            <c:numRef>
              <c:f>Mines!$D$60:$D$64</c:f>
              <c:numCache>
                <c:formatCode>#,##0</c:formatCode>
                <c:ptCount val="5"/>
                <c:pt idx="0">
                  <c:v>764.15499999999997</c:v>
                </c:pt>
                <c:pt idx="1">
                  <c:v>473.18900000000002</c:v>
                </c:pt>
                <c:pt idx="2">
                  <c:v>358.99900000000002</c:v>
                </c:pt>
                <c:pt idx="3">
                  <c:v>91.257999999999996</c:v>
                </c:pt>
                <c:pt idx="4">
                  <c:v>36.94</c:v>
                </c:pt>
              </c:numCache>
            </c:numRef>
          </c:val>
        </c:ser>
        <c:shape val="cylinder"/>
        <c:axId val="120805632"/>
        <c:axId val="120823808"/>
        <c:axId val="0"/>
      </c:bar3DChart>
      <c:catAx>
        <c:axId val="1208056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20823808"/>
        <c:crosses val="autoZero"/>
        <c:auto val="1"/>
        <c:lblAlgn val="ctr"/>
        <c:lblOffset val="100"/>
      </c:catAx>
      <c:valAx>
        <c:axId val="120823808"/>
        <c:scaling>
          <c:orientation val="minMax"/>
        </c:scaling>
        <c:delete val="1"/>
        <c:axPos val="l"/>
        <c:numFmt formatCode="#,##0" sourceLinked="1"/>
        <c:tickLblPos val="none"/>
        <c:crossAx val="12080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287605294826604"/>
          <c:y val="0.92467089672044789"/>
          <c:w val="0.46288495886896003"/>
          <c:h val="7.5329220211109979E-2"/>
        </c:manualLayout>
      </c:layout>
    </c:legend>
    <c:plotVisOnly val="1"/>
  </c:chart>
  <c:printSettings>
    <c:headerFooter/>
    <c:pageMargins b="0.75000000000001366" l="0.70000000000000062" r="0.70000000000000062" t="0.75000000000001366" header="0.30000000000000032" footer="0.30000000000000032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0"/>
      <c:rotY val="10"/>
      <c:depthPercent val="150"/>
      <c:rAngAx val="1"/>
    </c:view3D>
    <c:floor>
      <c:spPr>
        <a:solidFill>
          <a:srgbClr val="FFFF00">
            <a:alpha val="18000"/>
          </a:srgbClr>
        </a:solidFill>
      </c:spPr>
    </c:floor>
    <c:plotArea>
      <c:layout>
        <c:manualLayout>
          <c:layoutTarget val="inner"/>
          <c:xMode val="edge"/>
          <c:yMode val="edge"/>
          <c:x val="8.1642517948762497E-2"/>
          <c:y val="6.3492063492063502E-2"/>
          <c:w val="0.89845697071767927"/>
          <c:h val="0.6460756663972228"/>
        </c:manualLayout>
      </c:layout>
      <c:bar3DChart>
        <c:barDir val="col"/>
        <c:grouping val="clustered"/>
        <c:ser>
          <c:idx val="0"/>
          <c:order val="0"/>
          <c:tx>
            <c:strRef>
              <c:f>IDE!$M$13</c:f>
              <c:strCache>
                <c:ptCount val="1"/>
                <c:pt idx="0">
                  <c:v>الصناعات المعملية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dLbls>
            <c:dLbl>
              <c:idx val="0"/>
              <c:layout>
                <c:manualLayout>
                  <c:x val="-3.4269475962693252E-3"/>
                  <c:y val="0.13271019829745831"/>
                </c:manualLayout>
              </c:layout>
              <c:showVal val="1"/>
            </c:dLbl>
            <c:dLbl>
              <c:idx val="1"/>
              <c:layout>
                <c:manualLayout>
                  <c:x val="-1.0776954975446056E-2"/>
                  <c:y val="0.12753337487490324"/>
                </c:manualLayout>
              </c:layout>
              <c:showVal val="1"/>
            </c:dLbl>
            <c:dLbl>
              <c:idx val="2"/>
              <c:layout>
                <c:manualLayout>
                  <c:x val="-5.0521350029484203E-3"/>
                  <c:y val="0.12808021299495817"/>
                </c:manualLayout>
              </c:layout>
              <c:showVal val="1"/>
            </c:dLbl>
            <c:dLbl>
              <c:idx val="3"/>
              <c:layout>
                <c:manualLayout>
                  <c:x val="-4.4099118260713553E-3"/>
                  <c:y val="0.12838875356407786"/>
                </c:manualLayout>
              </c:layout>
              <c:showVal val="1"/>
            </c:dLbl>
            <c:spPr>
              <a:noFill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IDE!$N$12:$Q$12</c:f>
              <c:strCache>
                <c:ptCount val="4"/>
                <c:pt idx="0">
                  <c:v>8أشهر 2010</c:v>
                </c:pt>
                <c:pt idx="1">
                  <c:v>8أشهر 2011</c:v>
                </c:pt>
                <c:pt idx="2">
                  <c:v>8أشهر 2012</c:v>
                </c:pt>
                <c:pt idx="3">
                  <c:v>8أشهر 2013</c:v>
                </c:pt>
              </c:strCache>
            </c:strRef>
          </c:cat>
          <c:val>
            <c:numRef>
              <c:f>IDE!$N$13:$Q$13</c:f>
              <c:numCache>
                <c:formatCode>0</c:formatCode>
                <c:ptCount val="4"/>
                <c:pt idx="0">
                  <c:v>305.10000000000002</c:v>
                </c:pt>
                <c:pt idx="1">
                  <c:v>245.2</c:v>
                </c:pt>
                <c:pt idx="2">
                  <c:v>313.39999999999998</c:v>
                </c:pt>
                <c:pt idx="3">
                  <c:v>320</c:v>
                </c:pt>
              </c:numCache>
            </c:numRef>
          </c:val>
        </c:ser>
        <c:ser>
          <c:idx val="1"/>
          <c:order val="1"/>
          <c:tx>
            <c:strRef>
              <c:f>IDE!$M$14</c:f>
              <c:strCache>
                <c:ptCount val="1"/>
                <c:pt idx="0">
                  <c:v>الطاقة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2.9399798013120602E-3"/>
                  <c:y val="0.15347721822541971"/>
                </c:manualLayout>
              </c:layout>
              <c:showVal val="1"/>
            </c:dLbl>
            <c:dLbl>
              <c:idx val="1"/>
              <c:layout>
                <c:manualLayout>
                  <c:x val="-4.4100275778647894E-3"/>
                  <c:y val="0.17266187050359713"/>
                </c:manualLayout>
              </c:layout>
              <c:showVal val="1"/>
            </c:dLbl>
            <c:dLbl>
              <c:idx val="2"/>
              <c:layout>
                <c:manualLayout>
                  <c:x val="-5.8800753544175233E-3"/>
                  <c:y val="0.14868105515587529"/>
                </c:manualLayout>
              </c:layout>
              <c:showVal val="1"/>
            </c:dLbl>
            <c:dLbl>
              <c:idx val="3"/>
              <c:layout>
                <c:manualLayout>
                  <c:x val="-2.9399798013120602E-3"/>
                  <c:y val="0.16306954436450838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fr-FR"/>
              </a:p>
            </c:txPr>
            <c:showVal val="1"/>
          </c:dLbls>
          <c:cat>
            <c:strRef>
              <c:f>IDE!$N$12:$Q$12</c:f>
              <c:strCache>
                <c:ptCount val="4"/>
                <c:pt idx="0">
                  <c:v>8أشهر 2010</c:v>
                </c:pt>
                <c:pt idx="1">
                  <c:v>8أشهر 2011</c:v>
                </c:pt>
                <c:pt idx="2">
                  <c:v>8أشهر 2012</c:v>
                </c:pt>
                <c:pt idx="3">
                  <c:v>8أشهر 2013</c:v>
                </c:pt>
              </c:strCache>
            </c:strRef>
          </c:cat>
          <c:val>
            <c:numRef>
              <c:f>IDE!$N$14:$Q$14</c:f>
              <c:numCache>
                <c:formatCode>0</c:formatCode>
                <c:ptCount val="4"/>
                <c:pt idx="0">
                  <c:v>860</c:v>
                </c:pt>
                <c:pt idx="1">
                  <c:v>720</c:v>
                </c:pt>
                <c:pt idx="2">
                  <c:v>590</c:v>
                </c:pt>
                <c:pt idx="3">
                  <c:v>580</c:v>
                </c:pt>
              </c:numCache>
            </c:numRef>
          </c:val>
        </c:ser>
        <c:ser>
          <c:idx val="2"/>
          <c:order val="2"/>
          <c:tx>
            <c:strRef>
              <c:f>IDE!$M$15</c:f>
              <c:strCache>
                <c:ptCount val="1"/>
                <c:pt idx="0">
                  <c:v>جملة الإستثمارات المباشرة (م,د)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0"/>
              <c:layout>
                <c:manualLayout>
                  <c:x val="-7.3501231309704134E-3"/>
                  <c:y val="0.19184652278177458"/>
                </c:manualLayout>
              </c:layout>
              <c:showVal val="1"/>
            </c:dLbl>
            <c:dLbl>
              <c:idx val="1"/>
              <c:layout>
                <c:manualLayout>
                  <c:x val="-4.4100275778647894E-3"/>
                  <c:y val="0.22062350119904067"/>
                </c:manualLayout>
              </c:layout>
              <c:showVal val="1"/>
            </c:dLbl>
            <c:dLbl>
              <c:idx val="2"/>
              <c:layout>
                <c:manualLayout>
                  <c:x val="-2.9399798013120602E-3"/>
                  <c:y val="0.18225381899205045"/>
                </c:manualLayout>
              </c:layout>
              <c:showVal val="1"/>
            </c:dLbl>
            <c:dLbl>
              <c:idx val="3"/>
              <c:layout>
                <c:manualLayout>
                  <c:x val="-8.8201709075230068E-3"/>
                  <c:y val="0.20143884892086344"/>
                </c:manualLayout>
              </c:layout>
              <c:showVal val="1"/>
            </c:dLbl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</c:dLbls>
          <c:cat>
            <c:strRef>
              <c:f>IDE!$N$12:$Q$12</c:f>
              <c:strCache>
                <c:ptCount val="4"/>
                <c:pt idx="0">
                  <c:v>8أشهر 2010</c:v>
                </c:pt>
                <c:pt idx="1">
                  <c:v>8أشهر 2011</c:v>
                </c:pt>
                <c:pt idx="2">
                  <c:v>8أشهر 2012</c:v>
                </c:pt>
                <c:pt idx="3">
                  <c:v>8أشهر 2013</c:v>
                </c:pt>
              </c:strCache>
            </c:strRef>
          </c:cat>
          <c:val>
            <c:numRef>
              <c:f>IDE!$N$15:$Q$15</c:f>
              <c:numCache>
                <c:formatCode>0</c:formatCode>
                <c:ptCount val="4"/>
                <c:pt idx="0">
                  <c:v>1337.3</c:v>
                </c:pt>
                <c:pt idx="1">
                  <c:v>1099.4000000000001</c:v>
                </c:pt>
                <c:pt idx="2">
                  <c:v>1095.4000000000001</c:v>
                </c:pt>
                <c:pt idx="3">
                  <c:v>1087.5</c:v>
                </c:pt>
              </c:numCache>
            </c:numRef>
          </c:val>
        </c:ser>
        <c:shape val="cylinder"/>
        <c:axId val="123470592"/>
        <c:axId val="123472128"/>
        <c:axId val="0"/>
      </c:bar3DChart>
      <c:catAx>
        <c:axId val="123470592"/>
        <c:scaling>
          <c:orientation val="maxMin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fr-FR"/>
          </a:p>
        </c:txPr>
        <c:crossAx val="123472128"/>
        <c:crosses val="autoZero"/>
        <c:auto val="1"/>
        <c:lblAlgn val="ctr"/>
        <c:lblOffset val="100"/>
      </c:catAx>
      <c:valAx>
        <c:axId val="123472128"/>
        <c:scaling>
          <c:orientation val="minMax"/>
          <c:max val="1400"/>
          <c:min val="0"/>
        </c:scaling>
        <c:axPos val="r"/>
        <c:majorGridlines/>
        <c:numFmt formatCode="0" sourceLinked="1"/>
        <c:tickLblPos val="none"/>
        <c:spPr>
          <a:ln>
            <a:noFill/>
          </a:ln>
        </c:spPr>
        <c:crossAx val="123470592"/>
        <c:crosses val="min"/>
        <c:crossBetween val="between"/>
      </c:valAx>
    </c:plotArea>
    <c:legend>
      <c:legendPos val="b"/>
      <c:txPr>
        <a:bodyPr/>
        <a:lstStyle/>
        <a:p>
          <a:pPr>
            <a:defRPr sz="1200" b="1"/>
          </a:pPr>
          <a:endParaRPr lang="fr-FR"/>
        </a:p>
      </c:txPr>
    </c:legend>
    <c:plotVisOnly val="1"/>
    <c:dispBlanksAs val="gap"/>
  </c:chart>
  <c:spPr>
    <a:scene3d>
      <a:camera prst="orthographicFront"/>
      <a:lightRig rig="threePt" dir="t"/>
    </a:scene3d>
    <a:sp3d>
      <a:bevelT w="285750" h="0"/>
      <a:bevelB w="234950" h="0"/>
    </a:sp3d>
  </c:sp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7.4579566443083514E-3"/>
          <c:y val="0.15066389428594154"/>
          <c:w val="0.99254204335569152"/>
          <c:h val="0.54827782890774956"/>
        </c:manualLayout>
      </c:layout>
      <c:bar3DChart>
        <c:barDir val="col"/>
        <c:grouping val="clustered"/>
        <c:ser>
          <c:idx val="0"/>
          <c:order val="0"/>
          <c:tx>
            <c:strRef>
              <c:f>Mines!$F$82</c:f>
              <c:strCache>
                <c:ptCount val="1"/>
                <c:pt idx="0">
                  <c:v>8 mois 2013</c:v>
                </c:pt>
              </c:strCache>
            </c:strRef>
          </c:tx>
          <c:dLbls>
            <c:showVal val="1"/>
          </c:dLbls>
          <c:cat>
            <c:strRef>
              <c:f>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Mines!$F$85:$F$89</c:f>
              <c:numCache>
                <c:formatCode>#,##0</c:formatCode>
                <c:ptCount val="5"/>
                <c:pt idx="0">
                  <c:v>81.28</c:v>
                </c:pt>
                <c:pt idx="1">
                  <c:v>32.454999999999998</c:v>
                </c:pt>
                <c:pt idx="2">
                  <c:v>17.334</c:v>
                </c:pt>
                <c:pt idx="3">
                  <c:v>10.019</c:v>
                </c:pt>
                <c:pt idx="4" formatCode="#,##0.00">
                  <c:v>2.4700000000000002</c:v>
                </c:pt>
              </c:numCache>
            </c:numRef>
          </c:val>
        </c:ser>
        <c:ser>
          <c:idx val="1"/>
          <c:order val="1"/>
          <c:tx>
            <c:strRef>
              <c:f>Mines!$E$82</c:f>
              <c:strCache>
                <c:ptCount val="1"/>
                <c:pt idx="0">
                  <c:v>8 mois 2012</c:v>
                </c:pt>
              </c:strCache>
            </c:strRef>
          </c:tx>
          <c:dLbls>
            <c:dLbl>
              <c:idx val="0"/>
              <c:layout>
                <c:manualLayout>
                  <c:x val="1.0591728918500581E-2"/>
                  <c:y val="-1.5810276679841896E-2"/>
                </c:manualLayout>
              </c:layout>
              <c:showVal val="1"/>
            </c:dLbl>
            <c:dLbl>
              <c:idx val="1"/>
              <c:layout>
                <c:manualLayout>
                  <c:x val="2.5518341307814992E-2"/>
                  <c:y val="-2.886002886002886E-2"/>
                </c:manualLayout>
              </c:layout>
              <c:showVal val="1"/>
            </c:dLbl>
            <c:dLbl>
              <c:idx val="2"/>
              <c:layout>
                <c:manualLayout>
                  <c:x val="1.1675415573053368E-2"/>
                  <c:y val="-1.1042295602377799E-2"/>
                </c:manualLayout>
              </c:layout>
              <c:showVal val="1"/>
            </c:dLbl>
            <c:dLbl>
              <c:idx val="4"/>
              <c:layout>
                <c:manualLayout>
                  <c:x val="1.2697859882899253E-2"/>
                  <c:y val="-2.8860186943035222E-2"/>
                </c:manualLayout>
              </c:layout>
              <c:showVal val="1"/>
            </c:dLbl>
            <c:showVal val="1"/>
          </c:dLbls>
          <c:cat>
            <c:strRef>
              <c:f>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Mines!$E$85:$E$89</c:f>
              <c:numCache>
                <c:formatCode>#,##0</c:formatCode>
                <c:ptCount val="5"/>
                <c:pt idx="0">
                  <c:v>73.105999999999995</c:v>
                </c:pt>
                <c:pt idx="1">
                  <c:v>42.652000000000001</c:v>
                </c:pt>
                <c:pt idx="2">
                  <c:v>16.302</c:v>
                </c:pt>
                <c:pt idx="3">
                  <c:v>11.289</c:v>
                </c:pt>
                <c:pt idx="4" formatCode="#,##0.00">
                  <c:v>2.4809999999999999</c:v>
                </c:pt>
              </c:numCache>
            </c:numRef>
          </c:val>
        </c:ser>
        <c:ser>
          <c:idx val="2"/>
          <c:order val="2"/>
          <c:tx>
            <c:strRef>
              <c:f>Mines!$D$82</c:f>
              <c:strCache>
                <c:ptCount val="1"/>
                <c:pt idx="0">
                  <c:v>8 mois 2010</c:v>
                </c:pt>
              </c:strCache>
            </c:strRef>
          </c:tx>
          <c:dLbls>
            <c:dLbl>
              <c:idx val="0"/>
              <c:layout>
                <c:manualLayout>
                  <c:x val="1.282051282051282E-2"/>
                  <c:y val="5.2700922266139798E-3"/>
                </c:manualLayout>
              </c:layout>
              <c:showVal val="1"/>
            </c:dLbl>
            <c:dLbl>
              <c:idx val="1"/>
              <c:layout>
                <c:manualLayout>
                  <c:x val="1.0683760683760722E-2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3.2051282051282055E-2"/>
                  <c:y val="0"/>
                </c:manualLayout>
              </c:layout>
              <c:showVal val="1"/>
            </c:dLbl>
            <c:showVal val="1"/>
          </c:dLbls>
          <c:cat>
            <c:strRef>
              <c:f>Mines!$C$85:$C$89</c:f>
              <c:strCache>
                <c:ptCount val="5"/>
                <c:pt idx="0">
                  <c:v>Acide Phosphorique 54%</c:v>
                </c:pt>
                <c:pt idx="1">
                  <c:v>DAP</c:v>
                </c:pt>
                <c:pt idx="2">
                  <c:v>DCP</c:v>
                </c:pt>
                <c:pt idx="3">
                  <c:v>TSP</c:v>
                </c:pt>
                <c:pt idx="4">
                  <c:v>STPP</c:v>
                </c:pt>
              </c:strCache>
            </c:strRef>
          </c:cat>
          <c:val>
            <c:numRef>
              <c:f>Mines!$D$85:$D$89</c:f>
              <c:numCache>
                <c:formatCode>#,##0</c:formatCode>
                <c:ptCount val="5"/>
                <c:pt idx="0">
                  <c:v>82.808000000000007</c:v>
                </c:pt>
                <c:pt idx="1">
                  <c:v>31.696999999999999</c:v>
                </c:pt>
                <c:pt idx="2">
                  <c:v>15.685</c:v>
                </c:pt>
                <c:pt idx="3">
                  <c:v>9.5719999999999992</c:v>
                </c:pt>
                <c:pt idx="4" formatCode="#,##0.00">
                  <c:v>4.1230000000000002</c:v>
                </c:pt>
              </c:numCache>
            </c:numRef>
          </c:val>
        </c:ser>
        <c:shape val="cylinder"/>
        <c:axId val="121022720"/>
        <c:axId val="120885248"/>
        <c:axId val="0"/>
      </c:bar3DChart>
      <c:catAx>
        <c:axId val="12102272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120885248"/>
        <c:crosses val="autoZero"/>
        <c:auto val="1"/>
        <c:lblAlgn val="ctr"/>
        <c:lblOffset val="100"/>
      </c:catAx>
      <c:valAx>
        <c:axId val="120885248"/>
        <c:scaling>
          <c:orientation val="minMax"/>
        </c:scaling>
        <c:delete val="1"/>
        <c:axPos val="l"/>
        <c:numFmt formatCode="#,##0" sourceLinked="1"/>
        <c:tickLblPos val="none"/>
        <c:crossAx val="121022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23076923076924"/>
          <c:y val="0.89778967352401284"/>
          <c:w val="0.6459924961302933"/>
          <c:h val="0.10221032647598922"/>
        </c:manualLayout>
      </c:layout>
    </c:legend>
    <c:plotVisOnly val="1"/>
  </c:chart>
  <c:printSettings>
    <c:headerFooter/>
    <c:pageMargins b="0.75000000000001343" l="0.70000000000000062" r="0.70000000000000062" t="0.75000000000001343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1.4740347277257381E-2"/>
          <c:y val="0.1104447944007"/>
          <c:w val="0.96710146310046863"/>
          <c:h val="0.64726737786808963"/>
        </c:manualLayout>
      </c:layout>
      <c:bar3DChart>
        <c:barDir val="col"/>
        <c:grouping val="clustered"/>
        <c:ser>
          <c:idx val="0"/>
          <c:order val="0"/>
          <c:tx>
            <c:strRef>
              <c:f>Mines!$K$31</c:f>
              <c:strCache>
                <c:ptCount val="1"/>
                <c:pt idx="0">
                  <c:v>8 اشهر 2013</c:v>
                </c:pt>
              </c:strCache>
            </c:strRef>
          </c:tx>
          <c:dLbls>
            <c:showVal val="1"/>
          </c:dLbls>
          <c:cat>
            <c:strRef>
              <c:f>Mines!$N$34:$N$38</c:f>
              <c:strCache>
                <c:ptCount val="5"/>
                <c:pt idx="0">
                  <c:v>ثاني فسفاط الأمونيا</c:v>
                </c:pt>
                <c:pt idx="1">
                  <c:v>الحامض الفسفوري 54%</c:v>
                </c:pt>
                <c:pt idx="2">
                  <c:v>ثلاثي فسفاط الرفيع</c:v>
                </c:pt>
                <c:pt idx="3">
                  <c:v>فسفاط السوديوم</c:v>
                </c:pt>
                <c:pt idx="4">
                  <c:v>ثاني فسفاط الكلس</c:v>
                </c:pt>
              </c:strCache>
            </c:strRef>
          </c:cat>
          <c:val>
            <c:numRef>
              <c:f>Mines!$K$34:$K$38</c:f>
              <c:numCache>
                <c:formatCode>0</c:formatCode>
                <c:ptCount val="5"/>
                <c:pt idx="0">
                  <c:v>565.43399999999997</c:v>
                </c:pt>
                <c:pt idx="1">
                  <c:v>477.80599999999998</c:v>
                </c:pt>
                <c:pt idx="2">
                  <c:v>349.66800000000001</c:v>
                </c:pt>
                <c:pt idx="3">
                  <c:v>82.513999999999996</c:v>
                </c:pt>
                <c:pt idx="4">
                  <c:v>33.590000000000003</c:v>
                </c:pt>
              </c:numCache>
            </c:numRef>
          </c:val>
        </c:ser>
        <c:ser>
          <c:idx val="1"/>
          <c:order val="1"/>
          <c:tx>
            <c:strRef>
              <c:f>Mines!$L$31</c:f>
              <c:strCache>
                <c:ptCount val="1"/>
                <c:pt idx="0">
                  <c:v>8 اشهر 2012</c:v>
                </c:pt>
              </c:strCache>
            </c:strRef>
          </c:tx>
          <c:dLbls>
            <c:dLbl>
              <c:idx val="0"/>
              <c:layout>
                <c:manualLayout>
                  <c:x val="2.1038785912959091E-2"/>
                  <c:y val="-5.3763440860216819E-3"/>
                </c:manualLayout>
              </c:layout>
              <c:showVal val="1"/>
            </c:dLbl>
            <c:dLbl>
              <c:idx val="1"/>
              <c:layout>
                <c:manualLayout>
                  <c:x val="1.5778882360054799E-2"/>
                  <c:y val="-5.3763440860216819E-3"/>
                </c:manualLayout>
              </c:layout>
              <c:showVal val="1"/>
            </c:dLbl>
            <c:dLbl>
              <c:idx val="2"/>
              <c:layout>
                <c:manualLayout>
                  <c:x val="1.8408937673839179E-2"/>
                  <c:y val="0"/>
                </c:manualLayout>
              </c:layout>
              <c:showVal val="1"/>
            </c:dLbl>
            <c:showVal val="1"/>
          </c:dLbls>
          <c:cat>
            <c:strRef>
              <c:f>Mines!$N$34:$N$38</c:f>
              <c:strCache>
                <c:ptCount val="5"/>
                <c:pt idx="0">
                  <c:v>ثاني فسفاط الأمونيا</c:v>
                </c:pt>
                <c:pt idx="1">
                  <c:v>الحامض الفسفوري 54%</c:v>
                </c:pt>
                <c:pt idx="2">
                  <c:v>ثلاثي فسفاط الرفيع</c:v>
                </c:pt>
                <c:pt idx="3">
                  <c:v>فسفاط السوديوم</c:v>
                </c:pt>
                <c:pt idx="4">
                  <c:v>ثاني فسفاط الكلس</c:v>
                </c:pt>
              </c:strCache>
            </c:strRef>
          </c:cat>
          <c:val>
            <c:numRef>
              <c:f>Mines!$L$34:$L$38</c:f>
              <c:numCache>
                <c:formatCode>0</c:formatCode>
                <c:ptCount val="5"/>
                <c:pt idx="0">
                  <c:v>441.32799999999997</c:v>
                </c:pt>
                <c:pt idx="1">
                  <c:v>454.029</c:v>
                </c:pt>
                <c:pt idx="2">
                  <c:v>283.97000000000003</c:v>
                </c:pt>
                <c:pt idx="3">
                  <c:v>81.180000000000007</c:v>
                </c:pt>
                <c:pt idx="4">
                  <c:v>37.909999999999997</c:v>
                </c:pt>
              </c:numCache>
            </c:numRef>
          </c:val>
        </c:ser>
        <c:shape val="cylinder"/>
        <c:axId val="120898304"/>
        <c:axId val="121107968"/>
        <c:axId val="0"/>
      </c:bar3DChart>
      <c:catAx>
        <c:axId val="120898304"/>
        <c:scaling>
          <c:orientation val="minMax"/>
        </c:scaling>
        <c:axPos val="b"/>
        <c:tickLblPos val="nextTo"/>
        <c:crossAx val="121107968"/>
        <c:crosses val="autoZero"/>
        <c:auto val="1"/>
        <c:lblAlgn val="ctr"/>
        <c:lblOffset val="100"/>
      </c:catAx>
      <c:valAx>
        <c:axId val="121107968"/>
        <c:scaling>
          <c:orientation val="minMax"/>
          <c:max val="500"/>
          <c:min val="0"/>
        </c:scaling>
        <c:delete val="1"/>
        <c:axPos val="r"/>
        <c:numFmt formatCode="0" sourceLinked="1"/>
        <c:tickLblPos val="none"/>
        <c:crossAx val="120898304"/>
        <c:crosses val="max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0.31150370844398689"/>
          <c:y val="0.90553525809273838"/>
          <c:w val="0.35554906584814316"/>
          <c:h val="9.3451748763963366E-2"/>
        </c:manualLayout>
      </c:layout>
    </c:legend>
    <c:plotVisOnly val="1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AngAx val="1"/>
    </c:view3D>
    <c:plotArea>
      <c:layout>
        <c:manualLayout>
          <c:layoutTarget val="inner"/>
          <c:xMode val="edge"/>
          <c:yMode val="edge"/>
          <c:x val="1.9534786412568166E-3"/>
          <c:y val="7.0492188476440482E-2"/>
          <c:w val="0.9674911559968048"/>
          <c:h val="0.56384391951006163"/>
        </c:manualLayout>
      </c:layout>
      <c:bar3DChart>
        <c:barDir val="col"/>
        <c:grouping val="clustered"/>
        <c:ser>
          <c:idx val="0"/>
          <c:order val="0"/>
          <c:tx>
            <c:strRef>
              <c:f>Mines!$K$57</c:f>
              <c:strCache>
                <c:ptCount val="1"/>
                <c:pt idx="0">
                  <c:v>8 اشهر 2013</c:v>
                </c:pt>
              </c:strCache>
            </c:strRef>
          </c:tx>
          <c:dLbls>
            <c:showVal val="1"/>
          </c:dLbls>
          <c:cat>
            <c:strRef>
              <c:f>Mines!$M$60:$M$64</c:f>
              <c:strCache>
                <c:ptCount val="5"/>
                <c:pt idx="0">
                  <c:v>ثاني فسفاط الأمونيا</c:v>
                </c:pt>
                <c:pt idx="1">
                  <c:v>ثلاثي فسفاط الرفيع</c:v>
                </c:pt>
                <c:pt idx="2">
                  <c:v>الحامض الفسفوري 54%</c:v>
                </c:pt>
                <c:pt idx="3">
                  <c:v>فسفاط السوديوم</c:v>
                </c:pt>
                <c:pt idx="4">
                  <c:v>ثاني فسفاط الكلس</c:v>
                </c:pt>
              </c:strCache>
            </c:strRef>
          </c:cat>
          <c:val>
            <c:numRef>
              <c:f>Mines!$K$60:$K$64</c:f>
              <c:numCache>
                <c:formatCode>0</c:formatCode>
                <c:ptCount val="5"/>
                <c:pt idx="0">
                  <c:v>351.07299999999998</c:v>
                </c:pt>
                <c:pt idx="1">
                  <c:v>305.74</c:v>
                </c:pt>
                <c:pt idx="2">
                  <c:v>179.828</c:v>
                </c:pt>
                <c:pt idx="3">
                  <c:v>85.284999999999997</c:v>
                </c:pt>
                <c:pt idx="4">
                  <c:v>10.8</c:v>
                </c:pt>
              </c:numCache>
            </c:numRef>
          </c:val>
        </c:ser>
        <c:ser>
          <c:idx val="1"/>
          <c:order val="1"/>
          <c:tx>
            <c:strRef>
              <c:f>Mines!$L$57</c:f>
              <c:strCache>
                <c:ptCount val="1"/>
                <c:pt idx="0">
                  <c:v>8 اشهر 2012</c:v>
                </c:pt>
              </c:strCache>
            </c:strRef>
          </c:tx>
          <c:dLbls>
            <c:dLbl>
              <c:idx val="0"/>
              <c:layout>
                <c:manualLayout>
                  <c:x val="1.3888888888889271E-2"/>
                  <c:y val="1.2698412698412705E-2"/>
                </c:manualLayout>
              </c:layout>
              <c:showVal val="1"/>
            </c:dLbl>
            <c:dLbl>
              <c:idx val="1"/>
              <c:layout>
                <c:manualLayout>
                  <c:x val="1.388888888888927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2.2222222222222251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6666666666666701E-2"/>
                  <c:y val="6.3492063492063934E-3"/>
                </c:manualLayout>
              </c:layout>
              <c:showVal val="1"/>
            </c:dLbl>
            <c:showVal val="1"/>
          </c:dLbls>
          <c:cat>
            <c:strRef>
              <c:f>Mines!$M$60:$M$64</c:f>
              <c:strCache>
                <c:ptCount val="5"/>
                <c:pt idx="0">
                  <c:v>ثاني فسفاط الأمونيا</c:v>
                </c:pt>
                <c:pt idx="1">
                  <c:v>ثلاثي فسفاط الرفيع</c:v>
                </c:pt>
                <c:pt idx="2">
                  <c:v>الحامض الفسفوري 54%</c:v>
                </c:pt>
                <c:pt idx="3">
                  <c:v>فسفاط السوديوم</c:v>
                </c:pt>
                <c:pt idx="4">
                  <c:v>ثاني فسفاط الكلس</c:v>
                </c:pt>
              </c:strCache>
            </c:strRef>
          </c:cat>
          <c:val>
            <c:numRef>
              <c:f>Mines!$L$60:$L$64</c:f>
              <c:numCache>
                <c:formatCode>0</c:formatCode>
                <c:ptCount val="5"/>
                <c:pt idx="0">
                  <c:v>384.77800000000002</c:v>
                </c:pt>
                <c:pt idx="1">
                  <c:v>330.995</c:v>
                </c:pt>
                <c:pt idx="2">
                  <c:v>176.268</c:v>
                </c:pt>
                <c:pt idx="3">
                  <c:v>74.521000000000001</c:v>
                </c:pt>
                <c:pt idx="4">
                  <c:v>19.3</c:v>
                </c:pt>
              </c:numCache>
            </c:numRef>
          </c:val>
        </c:ser>
        <c:shape val="cylinder"/>
        <c:axId val="121100928"/>
        <c:axId val="121147776"/>
        <c:axId val="0"/>
      </c:bar3DChart>
      <c:catAx>
        <c:axId val="121100928"/>
        <c:scaling>
          <c:orientation val="minMax"/>
        </c:scaling>
        <c:axPos val="b"/>
        <c:tickLblPos val="nextTo"/>
        <c:crossAx val="121147776"/>
        <c:crosses val="autoZero"/>
        <c:auto val="1"/>
        <c:lblAlgn val="ctr"/>
        <c:lblOffset val="100"/>
      </c:catAx>
      <c:valAx>
        <c:axId val="121147776"/>
        <c:scaling>
          <c:orientation val="minMax"/>
        </c:scaling>
        <c:delete val="1"/>
        <c:axPos val="l"/>
        <c:numFmt formatCode="0" sourceLinked="1"/>
        <c:tickLblPos val="none"/>
        <c:crossAx val="121100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1759623797025787"/>
          <c:y val="0.84709261342334385"/>
          <c:w val="0.48425196850393676"/>
          <c:h val="0.11481214848144022"/>
        </c:manualLayout>
      </c:layout>
    </c:legend>
    <c:plotVisOnly val="1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view3D>
      <c:rotX val="0"/>
      <c:rotY val="0"/>
      <c:perspective val="30"/>
    </c:view3D>
    <c:plotArea>
      <c:layout>
        <c:manualLayout>
          <c:layoutTarget val="inner"/>
          <c:xMode val="edge"/>
          <c:yMode val="edge"/>
          <c:x val="0.11484089260272619"/>
          <c:y val="0.15459505808786414"/>
          <c:w val="0.84956039282429807"/>
          <c:h val="0.49860777362990316"/>
        </c:manualLayout>
      </c:layout>
      <c:bar3DChart>
        <c:barDir val="col"/>
        <c:grouping val="clustered"/>
        <c:ser>
          <c:idx val="0"/>
          <c:order val="0"/>
          <c:tx>
            <c:strRef>
              <c:f>Mines!$B$12</c:f>
              <c:strCache>
                <c:ptCount val="1"/>
                <c:pt idx="0">
                  <c:v>Chiffre d'Affaire global </c:v>
                </c:pt>
              </c:strCache>
            </c:strRef>
          </c:tx>
          <c:cat>
            <c:strRef>
              <c:f>Mines!$D$5:$F$5</c:f>
              <c:strCache>
                <c:ptCount val="3"/>
                <c:pt idx="0">
                  <c:v>8 mois 2010</c:v>
                </c:pt>
                <c:pt idx="1">
                  <c:v>8 mois 2012</c:v>
                </c:pt>
                <c:pt idx="2">
                  <c:v>8 mois 2013</c:v>
                </c:pt>
              </c:strCache>
            </c:strRef>
          </c:cat>
          <c:val>
            <c:numRef>
              <c:f>Mines!$D$12:$F$12</c:f>
              <c:numCache>
                <c:formatCode>0</c:formatCode>
                <c:ptCount val="3"/>
                <c:pt idx="0">
                  <c:v>1369.2211331999999</c:v>
                </c:pt>
                <c:pt idx="1">
                  <c:v>1187.2934640000001</c:v>
                </c:pt>
                <c:pt idx="2">
                  <c:v>1142.4263592375</c:v>
                </c:pt>
              </c:numCache>
            </c:numRef>
          </c:val>
        </c:ser>
        <c:ser>
          <c:idx val="1"/>
          <c:order val="1"/>
          <c:tx>
            <c:strRef>
              <c:f>Mines!$B$13:$C$13</c:f>
              <c:strCache>
                <c:ptCount val="1"/>
                <c:pt idx="0">
                  <c:v>Chiffre d'Affaire export </c:v>
                </c:pt>
              </c:strCache>
            </c:strRef>
          </c:tx>
          <c:dLbls>
            <c:dLbl>
              <c:idx val="0"/>
              <c:layout>
                <c:manualLayout>
                  <c:x val="1.4414414414414415E-2"/>
                  <c:y val="0"/>
                </c:manualLayout>
              </c:layout>
              <c:showVal val="1"/>
            </c:dLbl>
            <c:showVal val="1"/>
          </c:dLbls>
          <c:cat>
            <c:strRef>
              <c:f>Mines!$D$5:$F$5</c:f>
              <c:strCache>
                <c:ptCount val="3"/>
                <c:pt idx="0">
                  <c:v>8 mois 2010</c:v>
                </c:pt>
                <c:pt idx="1">
                  <c:v>8 mois 2012</c:v>
                </c:pt>
                <c:pt idx="2">
                  <c:v>8 mois 2013</c:v>
                </c:pt>
              </c:strCache>
            </c:strRef>
          </c:cat>
          <c:val>
            <c:numRef>
              <c:f>Mines!$D$13:$F$13</c:f>
              <c:numCache>
                <c:formatCode>0</c:formatCode>
                <c:ptCount val="3"/>
                <c:pt idx="0">
                  <c:v>1225.3193644</c:v>
                </c:pt>
                <c:pt idx="1">
                  <c:v>1001.5122239999999</c:v>
                </c:pt>
                <c:pt idx="2">
                  <c:v>968.72806179600002</c:v>
                </c:pt>
              </c:numCache>
            </c:numRef>
          </c:val>
        </c:ser>
        <c:dLbls>
          <c:showVal val="1"/>
        </c:dLbls>
        <c:gapWidth val="75"/>
        <c:shape val="cylinder"/>
        <c:axId val="121207040"/>
        <c:axId val="121212928"/>
        <c:axId val="0"/>
      </c:bar3DChart>
      <c:catAx>
        <c:axId val="1212070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21212928"/>
        <c:crosses val="autoZero"/>
        <c:auto val="1"/>
        <c:lblAlgn val="ctr"/>
        <c:lblOffset val="100"/>
      </c:catAx>
      <c:valAx>
        <c:axId val="121212928"/>
        <c:scaling>
          <c:orientation val="minMax"/>
        </c:scaling>
        <c:delete val="1"/>
        <c:axPos val="l"/>
        <c:numFmt formatCode="0" sourceLinked="1"/>
        <c:majorTickMark val="none"/>
        <c:tickLblPos val="none"/>
        <c:crossAx val="121207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779792387177115"/>
          <c:y val="0.86734803149606365"/>
          <c:w val="0.53284800179354064"/>
          <c:h val="0.12055275590551216"/>
        </c:manualLayout>
      </c:layout>
    </c:legend>
    <c:plotVisOnly val="1"/>
  </c:chart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إنتاج مشتقات الفسفاط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31765998172768489"/>
          <c:y val="3.609010606849108E-3"/>
        </c:manualLayout>
      </c:layout>
    </c:title>
    <c:plotArea>
      <c:layout>
        <c:manualLayout>
          <c:layoutTarget val="inner"/>
          <c:xMode val="edge"/>
          <c:yMode val="edge"/>
          <c:x val="3.1807231329645212E-2"/>
          <c:y val="0.14112674415702511"/>
          <c:w val="0.8725393808594889"/>
          <c:h val="0.67106509023440508"/>
        </c:manualLayout>
      </c:layout>
      <c:barChart>
        <c:barDir val="col"/>
        <c:grouping val="clustered"/>
        <c:ser>
          <c:idx val="0"/>
          <c:order val="0"/>
          <c:tx>
            <c:strRef>
              <c:f>Mines!$O$123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chemeClr val="tx1"/>
              </a:solidFill>
            </a:ln>
          </c:spPr>
          <c:cat>
            <c:strRef>
              <c:f>Mines!$P$126:$Q$130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Mines!$O$126:$O$130</c:f>
              <c:numCache>
                <c:formatCode>#,##0</c:formatCode>
                <c:ptCount val="5"/>
                <c:pt idx="0">
                  <c:v>781.78499999999997</c:v>
                </c:pt>
                <c:pt idx="1">
                  <c:v>509.13</c:v>
                </c:pt>
                <c:pt idx="2">
                  <c:v>780.6</c:v>
                </c:pt>
                <c:pt idx="3">
                  <c:v>52.38</c:v>
                </c:pt>
                <c:pt idx="4">
                  <c:v>96.63</c:v>
                </c:pt>
              </c:numCache>
            </c:numRef>
          </c:val>
        </c:ser>
        <c:ser>
          <c:idx val="1"/>
          <c:order val="1"/>
          <c:tx>
            <c:strRef>
              <c:f>Mines!$N$123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Mines!$P$126:$Q$130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Mines!$N$126:$N$130</c:f>
              <c:numCache>
                <c:formatCode>#,##0</c:formatCode>
                <c:ptCount val="5"/>
                <c:pt idx="0">
                  <c:v>454.029</c:v>
                </c:pt>
                <c:pt idx="1">
                  <c:v>283.97000000000003</c:v>
                </c:pt>
                <c:pt idx="2">
                  <c:v>441.32799999999997</c:v>
                </c:pt>
                <c:pt idx="3">
                  <c:v>37.909999999999997</c:v>
                </c:pt>
                <c:pt idx="4">
                  <c:v>81.180000000000007</c:v>
                </c:pt>
              </c:numCache>
            </c:numRef>
          </c:val>
        </c:ser>
        <c:ser>
          <c:idx val="2"/>
          <c:order val="2"/>
          <c:tx>
            <c:strRef>
              <c:f>Mines!$M$123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  <a:ln w="9525">
              <a:solidFill>
                <a:sysClr val="windowText" lastClr="000000"/>
              </a:solidFill>
            </a:ln>
          </c:spPr>
          <c:cat>
            <c:strRef>
              <c:f>Mines!$P$126:$Q$130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 </c:v>
                </c:pt>
              </c:strCache>
            </c:strRef>
          </c:cat>
          <c:val>
            <c:numRef>
              <c:f>Mines!$M$126:$M$130</c:f>
              <c:numCache>
                <c:formatCode>#,##0</c:formatCode>
                <c:ptCount val="5"/>
                <c:pt idx="0">
                  <c:v>477.80599999999998</c:v>
                </c:pt>
                <c:pt idx="1">
                  <c:v>349.66800000000001</c:v>
                </c:pt>
                <c:pt idx="2">
                  <c:v>565.43399999999997</c:v>
                </c:pt>
                <c:pt idx="3">
                  <c:v>33.590000000000003</c:v>
                </c:pt>
                <c:pt idx="4">
                  <c:v>82.513999999999996</c:v>
                </c:pt>
              </c:numCache>
            </c:numRef>
          </c:val>
        </c:ser>
        <c:axId val="121282944"/>
        <c:axId val="121284480"/>
      </c:barChart>
      <c:catAx>
        <c:axId val="121282944"/>
        <c:scaling>
          <c:orientation val="maxMin"/>
        </c:scaling>
        <c:axPos val="b"/>
        <c:majorGridlines/>
        <c:numFmt formatCode="General" sourceLinked="1"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21284480"/>
        <c:crosses val="autoZero"/>
        <c:auto val="1"/>
        <c:lblAlgn val="ctr"/>
        <c:lblOffset val="100"/>
      </c:catAx>
      <c:valAx>
        <c:axId val="121284480"/>
        <c:scaling>
          <c:orientation val="minMax"/>
          <c:max val="9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90549781372973925"/>
              <c:y val="2.0134857800015601E-2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282944"/>
        <c:crosses val="autoZero"/>
        <c:crossBetween val="between"/>
        <c:majorUnit val="100"/>
      </c:valAx>
      <c:spPr>
        <a:solidFill>
          <a:schemeClr val="accent5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3.7403160396905812E-2"/>
          <c:y val="0.15686890186195426"/>
          <c:w val="0.339403980064584"/>
          <c:h val="0.10285789979136707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</c:chart>
  <c:spPr>
    <a:solidFill>
      <a:schemeClr val="bg1">
        <a:lumMod val="95000"/>
      </a:schemeClr>
    </a:solidFill>
    <a:ln w="19050">
      <a:solidFill>
        <a:sysClr val="windowText" lastClr="000000"/>
      </a:solidFill>
    </a:ln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>
                <a:cs typeface="Traditional Arabic" pitchFamily="2" charset="-78"/>
              </a:defRPr>
            </a:pPr>
            <a:r>
              <a:rPr lang="ar-TN" sz="1400">
                <a:cs typeface="Traditional Arabic" pitchFamily="2" charset="-78"/>
              </a:rPr>
              <a:t>تطوّر صادرات مشتقات الفسفاط </a:t>
            </a:r>
            <a:endParaRPr lang="fr-FR" sz="1400">
              <a:cs typeface="Traditional Arabic" pitchFamily="2" charset="-78"/>
            </a:endParaRPr>
          </a:p>
        </c:rich>
      </c:tx>
      <c:layout>
        <c:manualLayout>
          <c:xMode val="edge"/>
          <c:yMode val="edge"/>
          <c:x val="0.29873720218504068"/>
          <c:y val="5.3335412281385634E-3"/>
        </c:manualLayout>
      </c:layout>
    </c:title>
    <c:plotArea>
      <c:layout>
        <c:manualLayout>
          <c:layoutTarget val="inner"/>
          <c:xMode val="edge"/>
          <c:yMode val="edge"/>
          <c:x val="3.6897279505741121E-2"/>
          <c:y val="0.16134975702294641"/>
          <c:w val="0.88274597995277582"/>
          <c:h val="0.69164262882981264"/>
        </c:manualLayout>
      </c:layout>
      <c:barChart>
        <c:barDir val="col"/>
        <c:grouping val="clustered"/>
        <c:ser>
          <c:idx val="2"/>
          <c:order val="0"/>
          <c:tx>
            <c:strRef>
              <c:f>Mines!$O$137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</c:spPr>
          <c:cat>
            <c:strRef>
              <c:f>Mines!$P$140:$Q$144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Mines!$O$140:$O$144</c:f>
              <c:numCache>
                <c:formatCode>#,##0</c:formatCode>
                <c:ptCount val="5"/>
                <c:pt idx="0">
                  <c:v>358.99900000000002</c:v>
                </c:pt>
                <c:pt idx="1">
                  <c:v>473.18900000000002</c:v>
                </c:pt>
                <c:pt idx="2">
                  <c:v>764.15499999999997</c:v>
                </c:pt>
                <c:pt idx="3">
                  <c:v>36.94</c:v>
                </c:pt>
                <c:pt idx="4">
                  <c:v>91.257999999999996</c:v>
                </c:pt>
              </c:numCache>
            </c:numRef>
          </c:val>
        </c:ser>
        <c:ser>
          <c:idx val="0"/>
          <c:order val="1"/>
          <c:tx>
            <c:strRef>
              <c:f>Mines!$N$137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cat>
            <c:strRef>
              <c:f>Mines!$P$140:$Q$144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Mines!$N$140:$N$144</c:f>
              <c:numCache>
                <c:formatCode>#,##0</c:formatCode>
                <c:ptCount val="5"/>
                <c:pt idx="0">
                  <c:v>176.268</c:v>
                </c:pt>
                <c:pt idx="1">
                  <c:v>330.995</c:v>
                </c:pt>
                <c:pt idx="2">
                  <c:v>384.77800000000002</c:v>
                </c:pt>
                <c:pt idx="3">
                  <c:v>19.3</c:v>
                </c:pt>
                <c:pt idx="4">
                  <c:v>74.521000000000001</c:v>
                </c:pt>
              </c:numCache>
            </c:numRef>
          </c:val>
        </c:ser>
        <c:ser>
          <c:idx val="1"/>
          <c:order val="2"/>
          <c:tx>
            <c:strRef>
              <c:f>Mines!$M$137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 w="9525">
              <a:solidFill>
                <a:sysClr val="windowText" lastClr="000000"/>
              </a:solidFill>
            </a:ln>
          </c:spPr>
          <c:cat>
            <c:strRef>
              <c:f>Mines!$P$140:$Q$144</c:f>
              <c:strCache>
                <c:ptCount val="5"/>
                <c:pt idx="0">
                  <c:v>الحامض الفسفوري 54%</c:v>
                </c:pt>
                <c:pt idx="1">
                  <c:v>ثلاثي الفسفاط الرفيع</c:v>
                </c:pt>
                <c:pt idx="2">
                  <c:v>ثاني فسفاط الأمونيا</c:v>
                </c:pt>
                <c:pt idx="3">
                  <c:v>ثاني فسفاط الكلس</c:v>
                </c:pt>
                <c:pt idx="4">
                  <c:v>فسفاط الصوديوم</c:v>
                </c:pt>
              </c:strCache>
            </c:strRef>
          </c:cat>
          <c:val>
            <c:numRef>
              <c:f>Mines!$M$140:$M$144</c:f>
              <c:numCache>
                <c:formatCode>#,##0</c:formatCode>
                <c:ptCount val="5"/>
                <c:pt idx="0">
                  <c:v>179.828</c:v>
                </c:pt>
                <c:pt idx="1">
                  <c:v>305.74</c:v>
                </c:pt>
                <c:pt idx="2">
                  <c:v>351.07299999999998</c:v>
                </c:pt>
                <c:pt idx="3" formatCode="#,##0.0">
                  <c:v>10.8</c:v>
                </c:pt>
                <c:pt idx="4">
                  <c:v>85.284999999999997</c:v>
                </c:pt>
              </c:numCache>
            </c:numRef>
          </c:val>
        </c:ser>
        <c:axId val="121306496"/>
        <c:axId val="121324672"/>
      </c:barChart>
      <c:catAx>
        <c:axId val="121306496"/>
        <c:scaling>
          <c:orientation val="maxMin"/>
        </c:scaling>
        <c:axPos val="b"/>
        <c:majorGridlines/>
        <c:tickLblPos val="nextTo"/>
        <c:txPr>
          <a:bodyPr/>
          <a:lstStyle/>
          <a:p>
            <a:pPr>
              <a:defRPr sz="700" b="1"/>
            </a:pPr>
            <a:endParaRPr lang="fr-FR"/>
          </a:p>
        </c:txPr>
        <c:crossAx val="121324672"/>
        <c:crosses val="autoZero"/>
        <c:auto val="1"/>
        <c:lblAlgn val="ctr"/>
        <c:lblOffset val="100"/>
      </c:catAx>
      <c:valAx>
        <c:axId val="121324672"/>
        <c:scaling>
          <c:orientation val="minMax"/>
          <c:max val="800"/>
          <c:min val="0"/>
        </c:scaling>
        <c:axPos val="r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ar-TN" sz="800"/>
                  <a:t>ألف طنا</a:t>
                </a:r>
                <a:endParaRPr lang="fr-FR" sz="800"/>
              </a:p>
            </c:rich>
          </c:tx>
          <c:layout>
            <c:manualLayout>
              <c:xMode val="edge"/>
              <c:yMode val="edge"/>
              <c:x val="0.9281633931208445"/>
              <c:y val="2.7233180010914966E-2"/>
            </c:manualLayout>
          </c:layout>
        </c:title>
        <c:numFmt formatCode="#,##0" sourceLinked="1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121306496"/>
        <c:crosses val="autoZero"/>
        <c:crossBetween val="between"/>
        <c:majorUnit val="100"/>
      </c:valAx>
      <c:spPr>
        <a:solidFill>
          <a:schemeClr val="tx2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4.3054992217145024E-2"/>
          <c:y val="0.16703587997938035"/>
          <c:w val="0.33964117461710158"/>
          <c:h val="9.0000667716815821E-2"/>
        </c:manualLayout>
      </c:layout>
      <c:txPr>
        <a:bodyPr/>
        <a:lstStyle/>
        <a:p>
          <a:pPr>
            <a:defRPr sz="900" b="1"/>
          </a:pPr>
          <a:endParaRPr lang="fr-FR"/>
        </a:p>
      </c:txPr>
    </c:legend>
    <c:plotVisOnly val="1"/>
  </c:chart>
  <c:spPr>
    <a:solidFill>
      <a:sysClr val="window" lastClr="FFFFFF">
        <a:lumMod val="95000"/>
      </a:sysClr>
    </a:solidFill>
    <a:ln w="19050">
      <a:solidFill>
        <a:sysClr val="windowText" lastClr="000000"/>
      </a:solidFill>
    </a:ln>
  </c:spPr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2" name="Rectangle 55"/>
        <xdr:cNvSpPr>
          <a:spLocks noChangeArrowheads="1"/>
        </xdr:cNvSpPr>
      </xdr:nvSpPr>
      <xdr:spPr bwMode="auto">
        <a:xfrm>
          <a:off x="571500" y="17335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3" name="Rectangle 61"/>
        <xdr:cNvSpPr>
          <a:spLocks noChangeArrowheads="1"/>
        </xdr:cNvSpPr>
      </xdr:nvSpPr>
      <xdr:spPr bwMode="auto">
        <a:xfrm>
          <a:off x="571500" y="20193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4" name="Rectangle 79"/>
        <xdr:cNvSpPr>
          <a:spLocks noChangeArrowheads="1"/>
        </xdr:cNvSpPr>
      </xdr:nvSpPr>
      <xdr:spPr bwMode="auto">
        <a:xfrm>
          <a:off x="561975" y="2743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5" name="Rectangle 85"/>
        <xdr:cNvSpPr>
          <a:spLocks noChangeArrowheads="1"/>
        </xdr:cNvSpPr>
      </xdr:nvSpPr>
      <xdr:spPr bwMode="auto">
        <a:xfrm>
          <a:off x="561975" y="3038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6" name="Rectangle 91"/>
        <xdr:cNvSpPr>
          <a:spLocks noChangeArrowheads="1"/>
        </xdr:cNvSpPr>
      </xdr:nvSpPr>
      <xdr:spPr bwMode="auto">
        <a:xfrm>
          <a:off x="571500" y="3324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7" name="Rectangle 55"/>
        <xdr:cNvSpPr>
          <a:spLocks noChangeArrowheads="1"/>
        </xdr:cNvSpPr>
      </xdr:nvSpPr>
      <xdr:spPr bwMode="auto">
        <a:xfrm>
          <a:off x="571500" y="19907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8" name="Rectangle 61"/>
        <xdr:cNvSpPr>
          <a:spLocks noChangeArrowheads="1"/>
        </xdr:cNvSpPr>
      </xdr:nvSpPr>
      <xdr:spPr bwMode="auto">
        <a:xfrm>
          <a:off x="571500" y="22764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9" name="Rectangle 79"/>
        <xdr:cNvSpPr>
          <a:spLocks noChangeArrowheads="1"/>
        </xdr:cNvSpPr>
      </xdr:nvSpPr>
      <xdr:spPr bwMode="auto">
        <a:xfrm>
          <a:off x="561975" y="30003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10" name="Rectangle 85"/>
        <xdr:cNvSpPr>
          <a:spLocks noChangeArrowheads="1"/>
        </xdr:cNvSpPr>
      </xdr:nvSpPr>
      <xdr:spPr bwMode="auto">
        <a:xfrm>
          <a:off x="561975" y="32956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11" name="Rectangle 55"/>
        <xdr:cNvSpPr>
          <a:spLocks noChangeArrowheads="1"/>
        </xdr:cNvSpPr>
      </xdr:nvSpPr>
      <xdr:spPr bwMode="auto">
        <a:xfrm>
          <a:off x="571500" y="17335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12" name="Rectangle 61"/>
        <xdr:cNvSpPr>
          <a:spLocks noChangeArrowheads="1"/>
        </xdr:cNvSpPr>
      </xdr:nvSpPr>
      <xdr:spPr bwMode="auto">
        <a:xfrm>
          <a:off x="571500" y="20193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13" name="Rectangle 79"/>
        <xdr:cNvSpPr>
          <a:spLocks noChangeArrowheads="1"/>
        </xdr:cNvSpPr>
      </xdr:nvSpPr>
      <xdr:spPr bwMode="auto">
        <a:xfrm>
          <a:off x="561975" y="2743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14" name="Rectangle 85"/>
        <xdr:cNvSpPr>
          <a:spLocks noChangeArrowheads="1"/>
        </xdr:cNvSpPr>
      </xdr:nvSpPr>
      <xdr:spPr bwMode="auto">
        <a:xfrm>
          <a:off x="561975" y="3038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15" name="Rectangle 91"/>
        <xdr:cNvSpPr>
          <a:spLocks noChangeArrowheads="1"/>
        </xdr:cNvSpPr>
      </xdr:nvSpPr>
      <xdr:spPr bwMode="auto">
        <a:xfrm>
          <a:off x="571500" y="3324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16" name="Rectangle 55"/>
        <xdr:cNvSpPr>
          <a:spLocks noChangeArrowheads="1"/>
        </xdr:cNvSpPr>
      </xdr:nvSpPr>
      <xdr:spPr bwMode="auto">
        <a:xfrm>
          <a:off x="571500" y="19907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17" name="Rectangle 61"/>
        <xdr:cNvSpPr>
          <a:spLocks noChangeArrowheads="1"/>
        </xdr:cNvSpPr>
      </xdr:nvSpPr>
      <xdr:spPr bwMode="auto">
        <a:xfrm>
          <a:off x="571500" y="22764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18" name="Rectangle 79"/>
        <xdr:cNvSpPr>
          <a:spLocks noChangeArrowheads="1"/>
        </xdr:cNvSpPr>
      </xdr:nvSpPr>
      <xdr:spPr bwMode="auto">
        <a:xfrm>
          <a:off x="561975" y="30003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19" name="Rectangle 85"/>
        <xdr:cNvSpPr>
          <a:spLocks noChangeArrowheads="1"/>
        </xdr:cNvSpPr>
      </xdr:nvSpPr>
      <xdr:spPr bwMode="auto">
        <a:xfrm>
          <a:off x="561975" y="32956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20" name="Rectangle 55"/>
        <xdr:cNvSpPr>
          <a:spLocks noChangeArrowheads="1"/>
        </xdr:cNvSpPr>
      </xdr:nvSpPr>
      <xdr:spPr bwMode="auto">
        <a:xfrm>
          <a:off x="571500" y="17335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21" name="Rectangle 61"/>
        <xdr:cNvSpPr>
          <a:spLocks noChangeArrowheads="1"/>
        </xdr:cNvSpPr>
      </xdr:nvSpPr>
      <xdr:spPr bwMode="auto">
        <a:xfrm>
          <a:off x="571500" y="20193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22" name="Rectangle 79"/>
        <xdr:cNvSpPr>
          <a:spLocks noChangeArrowheads="1"/>
        </xdr:cNvSpPr>
      </xdr:nvSpPr>
      <xdr:spPr bwMode="auto">
        <a:xfrm>
          <a:off x="561975" y="2743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23" name="Rectangle 85"/>
        <xdr:cNvSpPr>
          <a:spLocks noChangeArrowheads="1"/>
        </xdr:cNvSpPr>
      </xdr:nvSpPr>
      <xdr:spPr bwMode="auto">
        <a:xfrm>
          <a:off x="561975" y="3038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24" name="Rectangle 91"/>
        <xdr:cNvSpPr>
          <a:spLocks noChangeArrowheads="1"/>
        </xdr:cNvSpPr>
      </xdr:nvSpPr>
      <xdr:spPr bwMode="auto">
        <a:xfrm>
          <a:off x="571500" y="3324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25" name="Rectangle 55"/>
        <xdr:cNvSpPr>
          <a:spLocks noChangeArrowheads="1"/>
        </xdr:cNvSpPr>
      </xdr:nvSpPr>
      <xdr:spPr bwMode="auto">
        <a:xfrm>
          <a:off x="571500" y="19907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26" name="Rectangle 61"/>
        <xdr:cNvSpPr>
          <a:spLocks noChangeArrowheads="1"/>
        </xdr:cNvSpPr>
      </xdr:nvSpPr>
      <xdr:spPr bwMode="auto">
        <a:xfrm>
          <a:off x="571500" y="22764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27" name="Rectangle 79"/>
        <xdr:cNvSpPr>
          <a:spLocks noChangeArrowheads="1"/>
        </xdr:cNvSpPr>
      </xdr:nvSpPr>
      <xdr:spPr bwMode="auto">
        <a:xfrm>
          <a:off x="561975" y="30003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28" name="Rectangle 85"/>
        <xdr:cNvSpPr>
          <a:spLocks noChangeArrowheads="1"/>
        </xdr:cNvSpPr>
      </xdr:nvSpPr>
      <xdr:spPr bwMode="auto">
        <a:xfrm>
          <a:off x="561975" y="32956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29" name="Rectangle 55"/>
        <xdr:cNvSpPr>
          <a:spLocks noChangeArrowheads="1"/>
        </xdr:cNvSpPr>
      </xdr:nvSpPr>
      <xdr:spPr bwMode="auto">
        <a:xfrm>
          <a:off x="571500" y="173355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30" name="Rectangle 61"/>
        <xdr:cNvSpPr>
          <a:spLocks noChangeArrowheads="1"/>
        </xdr:cNvSpPr>
      </xdr:nvSpPr>
      <xdr:spPr bwMode="auto">
        <a:xfrm>
          <a:off x="571500" y="20193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31" name="Rectangle 79"/>
        <xdr:cNvSpPr>
          <a:spLocks noChangeArrowheads="1"/>
        </xdr:cNvSpPr>
      </xdr:nvSpPr>
      <xdr:spPr bwMode="auto">
        <a:xfrm>
          <a:off x="561975" y="274320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32" name="Rectangle 85"/>
        <xdr:cNvSpPr>
          <a:spLocks noChangeArrowheads="1"/>
        </xdr:cNvSpPr>
      </xdr:nvSpPr>
      <xdr:spPr bwMode="auto">
        <a:xfrm>
          <a:off x="561975" y="30384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33" name="Rectangle 91"/>
        <xdr:cNvSpPr>
          <a:spLocks noChangeArrowheads="1"/>
        </xdr:cNvSpPr>
      </xdr:nvSpPr>
      <xdr:spPr bwMode="auto">
        <a:xfrm>
          <a:off x="571500" y="3324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34" name="Rectangle 55"/>
        <xdr:cNvSpPr>
          <a:spLocks noChangeArrowheads="1"/>
        </xdr:cNvSpPr>
      </xdr:nvSpPr>
      <xdr:spPr bwMode="auto">
        <a:xfrm>
          <a:off x="571500" y="199072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35" name="Rectangle 61"/>
        <xdr:cNvSpPr>
          <a:spLocks noChangeArrowheads="1"/>
        </xdr:cNvSpPr>
      </xdr:nvSpPr>
      <xdr:spPr bwMode="auto">
        <a:xfrm>
          <a:off x="571500" y="2276475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36" name="Rectangle 79"/>
        <xdr:cNvSpPr>
          <a:spLocks noChangeArrowheads="1"/>
        </xdr:cNvSpPr>
      </xdr:nvSpPr>
      <xdr:spPr bwMode="auto">
        <a:xfrm>
          <a:off x="561975" y="3000375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37" name="Rectangle 85"/>
        <xdr:cNvSpPr>
          <a:spLocks noChangeArrowheads="1"/>
        </xdr:cNvSpPr>
      </xdr:nvSpPr>
      <xdr:spPr bwMode="auto">
        <a:xfrm>
          <a:off x="561975" y="3295650"/>
          <a:ext cx="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75</xdr:row>
      <xdr:rowOff>104775</xdr:rowOff>
    </xdr:from>
    <xdr:to>
      <xdr:col>0</xdr:col>
      <xdr:colOff>114300</xdr:colOff>
      <xdr:row>76</xdr:row>
      <xdr:rowOff>0</xdr:rowOff>
    </xdr:to>
    <xdr:sp macro="" textlink="">
      <xdr:nvSpPr>
        <xdr:cNvPr id="464" name="Rectangle 85"/>
        <xdr:cNvSpPr>
          <a:spLocks noChangeArrowheads="1"/>
        </xdr:cNvSpPr>
      </xdr:nvSpPr>
      <xdr:spPr bwMode="auto">
        <a:xfrm>
          <a:off x="0" y="296227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495300</xdr:colOff>
      <xdr:row>79</xdr:row>
      <xdr:rowOff>0</xdr:rowOff>
    </xdr:to>
    <xdr:sp macro="" textlink="">
      <xdr:nvSpPr>
        <xdr:cNvPr id="465" name="Rectangle 100"/>
        <xdr:cNvSpPr>
          <a:spLocks noChangeArrowheads="1"/>
        </xdr:cNvSpPr>
      </xdr:nvSpPr>
      <xdr:spPr bwMode="auto">
        <a:xfrm>
          <a:off x="0" y="3790950"/>
          <a:ext cx="4953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75</xdr:row>
      <xdr:rowOff>66675</xdr:rowOff>
    </xdr:from>
    <xdr:to>
      <xdr:col>0</xdr:col>
      <xdr:colOff>371475</xdr:colOff>
      <xdr:row>76</xdr:row>
      <xdr:rowOff>0</xdr:rowOff>
    </xdr:to>
    <xdr:sp macro="" textlink="">
      <xdr:nvSpPr>
        <xdr:cNvPr id="467" name="Rectangle 79"/>
        <xdr:cNvSpPr>
          <a:spLocks noChangeArrowheads="1"/>
        </xdr:cNvSpPr>
      </xdr:nvSpPr>
      <xdr:spPr bwMode="auto">
        <a:xfrm>
          <a:off x="0" y="2924175"/>
          <a:ext cx="3714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114300</xdr:colOff>
      <xdr:row>77</xdr:row>
      <xdr:rowOff>76200</xdr:rowOff>
    </xdr:to>
    <xdr:sp macro="" textlink="">
      <xdr:nvSpPr>
        <xdr:cNvPr id="468" name="Rectangle 85"/>
        <xdr:cNvSpPr>
          <a:spLocks noChangeArrowheads="1"/>
        </xdr:cNvSpPr>
      </xdr:nvSpPr>
      <xdr:spPr bwMode="auto">
        <a:xfrm>
          <a:off x="0" y="3143250"/>
          <a:ext cx="1143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428625</xdr:colOff>
      <xdr:row>80</xdr:row>
      <xdr:rowOff>47625</xdr:rowOff>
    </xdr:to>
    <xdr:sp macro="" textlink="">
      <xdr:nvSpPr>
        <xdr:cNvPr id="469" name="Rectangle 100"/>
        <xdr:cNvSpPr>
          <a:spLocks noChangeArrowheads="1"/>
        </xdr:cNvSpPr>
      </xdr:nvSpPr>
      <xdr:spPr bwMode="auto">
        <a:xfrm>
          <a:off x="0" y="4162425"/>
          <a:ext cx="4286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571500</xdr:colOff>
      <xdr:row>132</xdr:row>
      <xdr:rowOff>28575</xdr:rowOff>
    </xdr:from>
    <xdr:to>
      <xdr:col>3</xdr:col>
      <xdr:colOff>314325</xdr:colOff>
      <xdr:row>132</xdr:row>
      <xdr:rowOff>104775</xdr:rowOff>
    </xdr:to>
    <xdr:sp macro="" textlink="">
      <xdr:nvSpPr>
        <xdr:cNvPr id="470" name="Rectangle 55"/>
        <xdr:cNvSpPr>
          <a:spLocks noChangeArrowheads="1"/>
        </xdr:cNvSpPr>
      </xdr:nvSpPr>
      <xdr:spPr bwMode="auto">
        <a:xfrm>
          <a:off x="4343400" y="35699700"/>
          <a:ext cx="800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545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546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547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548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549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550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551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552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553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554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555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556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557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558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559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560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561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562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563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564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565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566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567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568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569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570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571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572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573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574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575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576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577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578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579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580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581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582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583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584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585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586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587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588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589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590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591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592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593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594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595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596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597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598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599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600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601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602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603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604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605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606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607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8</xdr:row>
      <xdr:rowOff>85725</xdr:rowOff>
    </xdr:from>
    <xdr:to>
      <xdr:col>0</xdr:col>
      <xdr:colOff>314325</xdr:colOff>
      <xdr:row>10</xdr:row>
      <xdr:rowOff>76200</xdr:rowOff>
    </xdr:to>
    <xdr:sp macro="" textlink="">
      <xdr:nvSpPr>
        <xdr:cNvPr id="608" name="Rectangle 55"/>
        <xdr:cNvSpPr>
          <a:spLocks noChangeArrowheads="1"/>
        </xdr:cNvSpPr>
      </xdr:nvSpPr>
      <xdr:spPr bwMode="auto">
        <a:xfrm>
          <a:off x="571500" y="19240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114300</xdr:rowOff>
    </xdr:from>
    <xdr:to>
      <xdr:col>0</xdr:col>
      <xdr:colOff>209550</xdr:colOff>
      <xdr:row>11</xdr:row>
      <xdr:rowOff>104775</xdr:rowOff>
    </xdr:to>
    <xdr:sp macro="" textlink="">
      <xdr:nvSpPr>
        <xdr:cNvPr id="609" name="Rectangle 61"/>
        <xdr:cNvSpPr>
          <a:spLocks noChangeArrowheads="1"/>
        </xdr:cNvSpPr>
      </xdr:nvSpPr>
      <xdr:spPr bwMode="auto">
        <a:xfrm>
          <a:off x="571500" y="2190750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12</xdr:row>
      <xdr:rowOff>66675</xdr:rowOff>
    </xdr:from>
    <xdr:to>
      <xdr:col>0</xdr:col>
      <xdr:colOff>371475</xdr:colOff>
      <xdr:row>14</xdr:row>
      <xdr:rowOff>38100</xdr:rowOff>
    </xdr:to>
    <xdr:sp macro="" textlink="">
      <xdr:nvSpPr>
        <xdr:cNvPr id="610" name="Rectangle 79"/>
        <xdr:cNvSpPr>
          <a:spLocks noChangeArrowheads="1"/>
        </xdr:cNvSpPr>
      </xdr:nvSpPr>
      <xdr:spPr bwMode="auto">
        <a:xfrm>
          <a:off x="561975" y="285750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104775</xdr:rowOff>
    </xdr:from>
    <xdr:to>
      <xdr:col>0</xdr:col>
      <xdr:colOff>114300</xdr:colOff>
      <xdr:row>15</xdr:row>
      <xdr:rowOff>76200</xdr:rowOff>
    </xdr:to>
    <xdr:sp macro="" textlink="">
      <xdr:nvSpPr>
        <xdr:cNvPr id="611" name="Rectangle 85"/>
        <xdr:cNvSpPr>
          <a:spLocks noChangeArrowheads="1"/>
        </xdr:cNvSpPr>
      </xdr:nvSpPr>
      <xdr:spPr bwMode="auto">
        <a:xfrm>
          <a:off x="561975" y="31337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14</xdr:row>
      <xdr:rowOff>133350</xdr:rowOff>
    </xdr:from>
    <xdr:to>
      <xdr:col>0</xdr:col>
      <xdr:colOff>209550</xdr:colOff>
      <xdr:row>16</xdr:row>
      <xdr:rowOff>114300</xdr:rowOff>
    </xdr:to>
    <xdr:sp macro="" textlink="">
      <xdr:nvSpPr>
        <xdr:cNvPr id="612" name="Rectangle 91"/>
        <xdr:cNvSpPr>
          <a:spLocks noChangeArrowheads="1"/>
        </xdr:cNvSpPr>
      </xdr:nvSpPr>
      <xdr:spPr bwMode="auto">
        <a:xfrm>
          <a:off x="571500" y="34004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9</xdr:row>
      <xdr:rowOff>85725</xdr:rowOff>
    </xdr:from>
    <xdr:to>
      <xdr:col>0</xdr:col>
      <xdr:colOff>314325</xdr:colOff>
      <xdr:row>11</xdr:row>
      <xdr:rowOff>76200</xdr:rowOff>
    </xdr:to>
    <xdr:sp macro="" textlink="">
      <xdr:nvSpPr>
        <xdr:cNvPr id="613" name="Rectangle 55"/>
        <xdr:cNvSpPr>
          <a:spLocks noChangeArrowheads="1"/>
        </xdr:cNvSpPr>
      </xdr:nvSpPr>
      <xdr:spPr bwMode="auto">
        <a:xfrm>
          <a:off x="571500" y="21621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571500</xdr:colOff>
      <xdr:row>10</xdr:row>
      <xdr:rowOff>114300</xdr:rowOff>
    </xdr:from>
    <xdr:to>
      <xdr:col>0</xdr:col>
      <xdr:colOff>209550</xdr:colOff>
      <xdr:row>12</xdr:row>
      <xdr:rowOff>104775</xdr:rowOff>
    </xdr:to>
    <xdr:sp macro="" textlink="">
      <xdr:nvSpPr>
        <xdr:cNvPr id="614" name="Rectangle 61"/>
        <xdr:cNvSpPr>
          <a:spLocks noChangeArrowheads="1"/>
        </xdr:cNvSpPr>
      </xdr:nvSpPr>
      <xdr:spPr bwMode="auto">
        <a:xfrm>
          <a:off x="571500" y="2428875"/>
          <a:ext cx="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13</xdr:row>
      <xdr:rowOff>66675</xdr:rowOff>
    </xdr:from>
    <xdr:to>
      <xdr:col>0</xdr:col>
      <xdr:colOff>371475</xdr:colOff>
      <xdr:row>15</xdr:row>
      <xdr:rowOff>38100</xdr:rowOff>
    </xdr:to>
    <xdr:sp macro="" textlink="">
      <xdr:nvSpPr>
        <xdr:cNvPr id="615" name="Rectangle 79"/>
        <xdr:cNvSpPr>
          <a:spLocks noChangeArrowheads="1"/>
        </xdr:cNvSpPr>
      </xdr:nvSpPr>
      <xdr:spPr bwMode="auto">
        <a:xfrm>
          <a:off x="561975" y="3095625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561975</xdr:colOff>
      <xdr:row>14</xdr:row>
      <xdr:rowOff>104775</xdr:rowOff>
    </xdr:from>
    <xdr:to>
      <xdr:col>0</xdr:col>
      <xdr:colOff>114300</xdr:colOff>
      <xdr:row>16</xdr:row>
      <xdr:rowOff>76200</xdr:rowOff>
    </xdr:to>
    <xdr:sp macro="" textlink="">
      <xdr:nvSpPr>
        <xdr:cNvPr id="616" name="Rectangle 85"/>
        <xdr:cNvSpPr>
          <a:spLocks noChangeArrowheads="1"/>
        </xdr:cNvSpPr>
      </xdr:nvSpPr>
      <xdr:spPr bwMode="auto">
        <a:xfrm>
          <a:off x="561975" y="3371850"/>
          <a:ext cx="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75</xdr:row>
      <xdr:rowOff>104775</xdr:rowOff>
    </xdr:from>
    <xdr:to>
      <xdr:col>0</xdr:col>
      <xdr:colOff>114300</xdr:colOff>
      <xdr:row>76</xdr:row>
      <xdr:rowOff>0</xdr:rowOff>
    </xdr:to>
    <xdr:sp macro="" textlink="">
      <xdr:nvSpPr>
        <xdr:cNvPr id="617" name="Rectangle 85"/>
        <xdr:cNvSpPr>
          <a:spLocks noChangeArrowheads="1"/>
        </xdr:cNvSpPr>
      </xdr:nvSpPr>
      <xdr:spPr bwMode="auto">
        <a:xfrm>
          <a:off x="0" y="13039725"/>
          <a:ext cx="1143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495300</xdr:colOff>
      <xdr:row>79</xdr:row>
      <xdr:rowOff>0</xdr:rowOff>
    </xdr:to>
    <xdr:sp macro="" textlink="">
      <xdr:nvSpPr>
        <xdr:cNvPr id="618" name="Rectangle 100"/>
        <xdr:cNvSpPr>
          <a:spLocks noChangeArrowheads="1"/>
        </xdr:cNvSpPr>
      </xdr:nvSpPr>
      <xdr:spPr bwMode="auto">
        <a:xfrm>
          <a:off x="0" y="13649325"/>
          <a:ext cx="4953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75</xdr:row>
      <xdr:rowOff>66675</xdr:rowOff>
    </xdr:from>
    <xdr:to>
      <xdr:col>0</xdr:col>
      <xdr:colOff>371475</xdr:colOff>
      <xdr:row>76</xdr:row>
      <xdr:rowOff>0</xdr:rowOff>
    </xdr:to>
    <xdr:sp macro="" textlink="">
      <xdr:nvSpPr>
        <xdr:cNvPr id="619" name="Rectangle 79"/>
        <xdr:cNvSpPr>
          <a:spLocks noChangeArrowheads="1"/>
        </xdr:cNvSpPr>
      </xdr:nvSpPr>
      <xdr:spPr bwMode="auto">
        <a:xfrm>
          <a:off x="0" y="13001625"/>
          <a:ext cx="3714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114300</xdr:colOff>
      <xdr:row>77</xdr:row>
      <xdr:rowOff>76200</xdr:rowOff>
    </xdr:to>
    <xdr:sp macro="" textlink="">
      <xdr:nvSpPr>
        <xdr:cNvPr id="620" name="Rectangle 85"/>
        <xdr:cNvSpPr>
          <a:spLocks noChangeArrowheads="1"/>
        </xdr:cNvSpPr>
      </xdr:nvSpPr>
      <xdr:spPr bwMode="auto">
        <a:xfrm>
          <a:off x="0" y="13173075"/>
          <a:ext cx="1143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428625</xdr:colOff>
      <xdr:row>80</xdr:row>
      <xdr:rowOff>47625</xdr:rowOff>
    </xdr:to>
    <xdr:sp macro="" textlink="">
      <xdr:nvSpPr>
        <xdr:cNvPr id="621" name="Rectangle 100"/>
        <xdr:cNvSpPr>
          <a:spLocks noChangeArrowheads="1"/>
        </xdr:cNvSpPr>
      </xdr:nvSpPr>
      <xdr:spPr bwMode="auto">
        <a:xfrm>
          <a:off x="0" y="13935075"/>
          <a:ext cx="4286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428625</xdr:colOff>
      <xdr:row>84</xdr:row>
      <xdr:rowOff>47625</xdr:rowOff>
    </xdr:to>
    <xdr:sp macro="" textlink="">
      <xdr:nvSpPr>
        <xdr:cNvPr id="529" name="Rectangle 100"/>
        <xdr:cNvSpPr>
          <a:spLocks noChangeArrowheads="1"/>
        </xdr:cNvSpPr>
      </xdr:nvSpPr>
      <xdr:spPr bwMode="auto">
        <a:xfrm>
          <a:off x="0" y="21936075"/>
          <a:ext cx="428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428625</xdr:colOff>
      <xdr:row>84</xdr:row>
      <xdr:rowOff>47625</xdr:rowOff>
    </xdr:to>
    <xdr:sp macro="" textlink="">
      <xdr:nvSpPr>
        <xdr:cNvPr id="530" name="Rectangle 100"/>
        <xdr:cNvSpPr>
          <a:spLocks noChangeArrowheads="1"/>
        </xdr:cNvSpPr>
      </xdr:nvSpPr>
      <xdr:spPr bwMode="auto">
        <a:xfrm>
          <a:off x="0" y="21936075"/>
          <a:ext cx="4286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133350</xdr:colOff>
      <xdr:row>64</xdr:row>
      <xdr:rowOff>95250</xdr:rowOff>
    </xdr:from>
    <xdr:to>
      <xdr:col>4</xdr:col>
      <xdr:colOff>438150</xdr:colOff>
      <xdr:row>90</xdr:row>
      <xdr:rowOff>142875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9107150"/>
          <a:ext cx="7000875" cy="5067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2</xdr:col>
      <xdr:colOff>704850</xdr:colOff>
      <xdr:row>119</xdr:row>
      <xdr:rowOff>161925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603075"/>
          <a:ext cx="4981575" cy="5753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4</xdr:col>
      <xdr:colOff>47625</xdr:colOff>
      <xdr:row>150</xdr:row>
      <xdr:rowOff>76200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30908625"/>
          <a:ext cx="6743700" cy="59340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7</xdr:row>
      <xdr:rowOff>85725</xdr:rowOff>
    </xdr:from>
    <xdr:to>
      <xdr:col>8</xdr:col>
      <xdr:colOff>752475</xdr:colOff>
      <xdr:row>7</xdr:row>
      <xdr:rowOff>523874</xdr:rowOff>
    </xdr:to>
    <xdr:sp macro="" textlink="">
      <xdr:nvSpPr>
        <xdr:cNvPr id="2" name="Flèche à angle droit 1"/>
        <xdr:cNvSpPr/>
      </xdr:nvSpPr>
      <xdr:spPr>
        <a:xfrm>
          <a:off x="9744075" y="1390650"/>
          <a:ext cx="266700" cy="438149"/>
        </a:xfrm>
        <a:prstGeom prst="bentUpArrow">
          <a:avLst/>
        </a:prstGeom>
        <a:solidFill>
          <a:srgbClr val="66FF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rgbClr val="66FF66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633593</xdr:colOff>
      <xdr:row>5</xdr:row>
      <xdr:rowOff>250916</xdr:rowOff>
    </xdr:from>
    <xdr:to>
      <xdr:col>3</xdr:col>
      <xdr:colOff>103954</xdr:colOff>
      <xdr:row>11</xdr:row>
      <xdr:rowOff>384881</xdr:rowOff>
    </xdr:to>
    <xdr:sp macro="" textlink="">
      <xdr:nvSpPr>
        <xdr:cNvPr id="2" name="Flèche droite 1"/>
        <xdr:cNvSpPr/>
      </xdr:nvSpPr>
      <xdr:spPr>
        <a:xfrm rot="18592750">
          <a:off x="4802354" y="3016355"/>
          <a:ext cx="2238990" cy="23236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</xdr:colOff>
      <xdr:row>14</xdr:row>
      <xdr:rowOff>38099</xdr:rowOff>
    </xdr:from>
    <xdr:to>
      <xdr:col>14</xdr:col>
      <xdr:colOff>19048</xdr:colOff>
      <xdr:row>24</xdr:row>
      <xdr:rowOff>19050</xdr:rowOff>
    </xdr:to>
    <xdr:graphicFrame macro="">
      <xdr:nvGraphicFramePr>
        <xdr:cNvPr id="22" name="Graphique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38101</xdr:colOff>
      <xdr:row>39</xdr:row>
      <xdr:rowOff>76199</xdr:rowOff>
    </xdr:from>
    <xdr:to>
      <xdr:col>6</xdr:col>
      <xdr:colOff>695325</xdr:colOff>
      <xdr:row>52</xdr:row>
      <xdr:rowOff>95250</xdr:rowOff>
    </xdr:to>
    <xdr:graphicFrame macro="">
      <xdr:nvGraphicFramePr>
        <xdr:cNvPr id="23" name="Graphique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85726</xdr:colOff>
      <xdr:row>39</xdr:row>
      <xdr:rowOff>114300</xdr:rowOff>
    </xdr:from>
    <xdr:to>
      <xdr:col>6</xdr:col>
      <xdr:colOff>609601</xdr:colOff>
      <xdr:row>40</xdr:row>
      <xdr:rowOff>142875</xdr:rowOff>
    </xdr:to>
    <xdr:sp macro="" textlink="">
      <xdr:nvSpPr>
        <xdr:cNvPr id="24" name="ZoneTexte 23"/>
        <xdr:cNvSpPr txBox="1"/>
      </xdr:nvSpPr>
      <xdr:spPr>
        <a:xfrm>
          <a:off x="333376" y="8953500"/>
          <a:ext cx="502920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FR" sz="1100"/>
            <a:t>Production</a:t>
          </a:r>
          <a:r>
            <a:rPr lang="fr-FR" sz="1100" baseline="0"/>
            <a:t> dérivés de phosphates (mille tonnes)</a:t>
          </a:r>
          <a:endParaRPr lang="fr-FR" sz="1100"/>
        </a:p>
      </xdr:txBody>
    </xdr:sp>
    <xdr:clientData/>
  </xdr:twoCellAnchor>
  <xdr:twoCellAnchor>
    <xdr:from>
      <xdr:col>1</xdr:col>
      <xdr:colOff>85725</xdr:colOff>
      <xdr:row>65</xdr:row>
      <xdr:rowOff>104774</xdr:rowOff>
    </xdr:from>
    <xdr:to>
      <xdr:col>6</xdr:col>
      <xdr:colOff>742950</xdr:colOff>
      <xdr:row>77</xdr:row>
      <xdr:rowOff>19049</xdr:rowOff>
    </xdr:to>
    <xdr:graphicFrame macro="">
      <xdr:nvGraphicFramePr>
        <xdr:cNvPr id="33" name="Graphique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57150</xdr:colOff>
      <xdr:row>90</xdr:row>
      <xdr:rowOff>38100</xdr:rowOff>
    </xdr:from>
    <xdr:to>
      <xdr:col>6</xdr:col>
      <xdr:colOff>695325</xdr:colOff>
      <xdr:row>102</xdr:row>
      <xdr:rowOff>161925</xdr:rowOff>
    </xdr:to>
    <xdr:graphicFrame macro="">
      <xdr:nvGraphicFramePr>
        <xdr:cNvPr id="35" name="Graphique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342900</xdr:colOff>
      <xdr:row>40</xdr:row>
      <xdr:rowOff>76200</xdr:rowOff>
    </xdr:from>
    <xdr:to>
      <xdr:col>14</xdr:col>
      <xdr:colOff>38101</xdr:colOff>
      <xdr:row>53</xdr:row>
      <xdr:rowOff>57150</xdr:rowOff>
    </xdr:to>
    <xdr:graphicFrame macro="">
      <xdr:nvGraphicFramePr>
        <xdr:cNvPr id="18" name="Graphique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571500</xdr:colOff>
      <xdr:row>40</xdr:row>
      <xdr:rowOff>85725</xdr:rowOff>
    </xdr:from>
    <xdr:to>
      <xdr:col>13</xdr:col>
      <xdr:colOff>428625</xdr:colOff>
      <xdr:row>41</xdr:row>
      <xdr:rowOff>95250</xdr:rowOff>
    </xdr:to>
    <xdr:sp macro="" textlink="">
      <xdr:nvSpPr>
        <xdr:cNvPr id="32" name="ZoneTexte 31"/>
        <xdr:cNvSpPr txBox="1"/>
      </xdr:nvSpPr>
      <xdr:spPr>
        <a:xfrm>
          <a:off x="6086475" y="9067800"/>
          <a:ext cx="48101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ar-TN" sz="1100"/>
            <a:t>انتاج مشتقاط الفسفاط (الف طن)</a:t>
          </a:r>
          <a:endParaRPr lang="fr-FR" sz="1100"/>
        </a:p>
      </xdr:txBody>
    </xdr:sp>
    <xdr:clientData/>
  </xdr:twoCellAnchor>
  <xdr:twoCellAnchor>
    <xdr:from>
      <xdr:col>9</xdr:col>
      <xdr:colOff>95250</xdr:colOff>
      <xdr:row>66</xdr:row>
      <xdr:rowOff>28574</xdr:rowOff>
    </xdr:from>
    <xdr:to>
      <xdr:col>13</xdr:col>
      <xdr:colOff>247650</xdr:colOff>
      <xdr:row>77</xdr:row>
      <xdr:rowOff>76199</xdr:rowOff>
    </xdr:to>
    <xdr:graphicFrame macro="">
      <xdr:nvGraphicFramePr>
        <xdr:cNvPr id="21" name="Graphique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38100</xdr:colOff>
      <xdr:row>65</xdr:row>
      <xdr:rowOff>161925</xdr:rowOff>
    </xdr:from>
    <xdr:to>
      <xdr:col>13</xdr:col>
      <xdr:colOff>182086</xdr:colOff>
      <xdr:row>67</xdr:row>
      <xdr:rowOff>6020</xdr:rowOff>
    </xdr:to>
    <xdr:sp macro="" textlink="">
      <xdr:nvSpPr>
        <xdr:cNvPr id="20" name="ZoneTexte 15"/>
        <xdr:cNvSpPr txBox="1"/>
      </xdr:nvSpPr>
      <xdr:spPr>
        <a:xfrm>
          <a:off x="6315075" y="14297025"/>
          <a:ext cx="4563586" cy="22509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TN" sz="1100" baseline="0"/>
            <a:t> التصدير </a:t>
          </a:r>
          <a:r>
            <a:rPr lang="ar-TN" sz="1100"/>
            <a:t>(الف طن)</a:t>
          </a:r>
          <a:endParaRPr lang="fr-FR" sz="1100"/>
        </a:p>
      </xdr:txBody>
    </xdr:sp>
    <xdr:clientData/>
  </xdr:twoCellAnchor>
  <xdr:twoCellAnchor>
    <xdr:from>
      <xdr:col>0</xdr:col>
      <xdr:colOff>190500</xdr:colOff>
      <xdr:row>14</xdr:row>
      <xdr:rowOff>28576</xdr:rowOff>
    </xdr:from>
    <xdr:to>
      <xdr:col>6</xdr:col>
      <xdr:colOff>685799</xdr:colOff>
      <xdr:row>24</xdr:row>
      <xdr:rowOff>28576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42333</xdr:colOff>
      <xdr:row>120</xdr:row>
      <xdr:rowOff>416719</xdr:rowOff>
    </xdr:from>
    <xdr:to>
      <xdr:col>9</xdr:col>
      <xdr:colOff>21166</xdr:colOff>
      <xdr:row>130</xdr:row>
      <xdr:rowOff>0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38101</xdr:colOff>
      <xdr:row>134</xdr:row>
      <xdr:rowOff>209550</xdr:rowOff>
    </xdr:from>
    <xdr:to>
      <xdr:col>9</xdr:col>
      <xdr:colOff>542924</xdr:colOff>
      <xdr:row>143</xdr:row>
      <xdr:rowOff>104775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71437</xdr:colOff>
      <xdr:row>144</xdr:row>
      <xdr:rowOff>416719</xdr:rowOff>
    </xdr:from>
    <xdr:to>
      <xdr:col>9</xdr:col>
      <xdr:colOff>23812</xdr:colOff>
      <xdr:row>154</xdr:row>
      <xdr:rowOff>0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83344</xdr:colOff>
      <xdr:row>107</xdr:row>
      <xdr:rowOff>388142</xdr:rowOff>
    </xdr:from>
    <xdr:to>
      <xdr:col>9</xdr:col>
      <xdr:colOff>59531</xdr:colOff>
      <xdr:row>119</xdr:row>
      <xdr:rowOff>142874</xdr:rowOff>
    </xdr:to>
    <xdr:graphicFrame macro="">
      <xdr:nvGraphicFramePr>
        <xdr:cNvPr id="34" name="Graphique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76200</xdr:colOff>
      <xdr:row>90</xdr:row>
      <xdr:rowOff>180975</xdr:rowOff>
    </xdr:from>
    <xdr:to>
      <xdr:col>13</xdr:col>
      <xdr:colOff>228600</xdr:colOff>
      <xdr:row>102</xdr:row>
      <xdr:rowOff>38100</xdr:rowOff>
    </xdr:to>
    <xdr:graphicFrame macro="">
      <xdr:nvGraphicFramePr>
        <xdr:cNvPr id="36" name="Graphique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95250</xdr:colOff>
      <xdr:row>91</xdr:row>
      <xdr:rowOff>0</xdr:rowOff>
    </xdr:from>
    <xdr:to>
      <xdr:col>13</xdr:col>
      <xdr:colOff>200025</xdr:colOff>
      <xdr:row>92</xdr:row>
      <xdr:rowOff>9525</xdr:rowOff>
    </xdr:to>
    <xdr:sp macro="" textlink="">
      <xdr:nvSpPr>
        <xdr:cNvPr id="37" name="ZoneTexte 5"/>
        <xdr:cNvSpPr txBox="1"/>
      </xdr:nvSpPr>
      <xdr:spPr>
        <a:xfrm>
          <a:off x="6372225" y="19802475"/>
          <a:ext cx="5210175" cy="20002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ar-TN" sz="1100" baseline="0"/>
            <a:t>المبيعات المحلية   (ألف طن)</a:t>
          </a:r>
          <a:endParaRPr lang="fr-FR" sz="1100"/>
        </a:p>
      </xdr:txBody>
    </xdr:sp>
    <xdr:clientData/>
  </xdr:twoCellAnchor>
  <xdr:twoCellAnchor>
    <xdr:from>
      <xdr:col>18</xdr:col>
      <xdr:colOff>42333</xdr:colOff>
      <xdr:row>120</xdr:row>
      <xdr:rowOff>416719</xdr:rowOff>
    </xdr:from>
    <xdr:to>
      <xdr:col>23</xdr:col>
      <xdr:colOff>21166</xdr:colOff>
      <xdr:row>130</xdr:row>
      <xdr:rowOff>0</xdr:rowOff>
    </xdr:to>
    <xdr:graphicFrame macro="">
      <xdr:nvGraphicFramePr>
        <xdr:cNvPr id="38" name="Graphique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47626</xdr:colOff>
      <xdr:row>135</xdr:row>
      <xdr:rowOff>1</xdr:rowOff>
    </xdr:from>
    <xdr:to>
      <xdr:col>23</xdr:col>
      <xdr:colOff>23813</xdr:colOff>
      <xdr:row>143</xdr:row>
      <xdr:rowOff>209550</xdr:rowOff>
    </xdr:to>
    <xdr:graphicFrame macro="">
      <xdr:nvGraphicFramePr>
        <xdr:cNvPr id="39" name="Graphique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71437</xdr:colOff>
      <xdr:row>144</xdr:row>
      <xdr:rowOff>416719</xdr:rowOff>
    </xdr:from>
    <xdr:to>
      <xdr:col>23</xdr:col>
      <xdr:colOff>23812</xdr:colOff>
      <xdr:row>154</xdr:row>
      <xdr:rowOff>0</xdr:rowOff>
    </xdr:to>
    <xdr:graphicFrame macro="">
      <xdr:nvGraphicFramePr>
        <xdr:cNvPr id="40" name="Graphique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18</xdr:col>
      <xdr:colOff>83344</xdr:colOff>
      <xdr:row>155</xdr:row>
      <xdr:rowOff>0</xdr:rowOff>
    </xdr:from>
    <xdr:to>
      <xdr:col>23</xdr:col>
      <xdr:colOff>11905</xdr:colOff>
      <xdr:row>160</xdr:row>
      <xdr:rowOff>11906</xdr:rowOff>
    </xdr:to>
    <xdr:graphicFrame macro="">
      <xdr:nvGraphicFramePr>
        <xdr:cNvPr id="41" name="Graphique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18</xdr:col>
      <xdr:colOff>35719</xdr:colOff>
      <xdr:row>107</xdr:row>
      <xdr:rowOff>416718</xdr:rowOff>
    </xdr:from>
    <xdr:to>
      <xdr:col>23</xdr:col>
      <xdr:colOff>11906</xdr:colOff>
      <xdr:row>118</xdr:row>
      <xdr:rowOff>202406</xdr:rowOff>
    </xdr:to>
    <xdr:graphicFrame macro="">
      <xdr:nvGraphicFramePr>
        <xdr:cNvPr id="42" name="Graphique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0.99279</cdr:x>
      <cdr:y>0.112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0" y="0"/>
          <a:ext cx="393382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aseline="0"/>
            <a:t>Exportations (mille tonnes)</a:t>
          </a:r>
          <a:endParaRPr lang="fr-FR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0.99279</cdr:x>
      <cdr:y>0.112</cdr:y>
    </cdr:to>
    <cdr:sp macro="" textlink="">
      <cdr:nvSpPr>
        <cdr:cNvPr id="3" name="ZoneTexte 5"/>
        <cdr:cNvSpPr txBox="1"/>
      </cdr:nvSpPr>
      <cdr:spPr>
        <a:xfrm xmlns:a="http://schemas.openxmlformats.org/drawingml/2006/main">
          <a:off x="0" y="0"/>
          <a:ext cx="3933825" cy="2667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aseline="0"/>
            <a:t>Exportations (mille tonnes)</a:t>
          </a:r>
          <a:endParaRPr lang="fr-F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0.12121</cdr:y>
    </cdr:to>
    <cdr:sp macro="" textlink="">
      <cdr:nvSpPr>
        <cdr:cNvPr id="2" name="ZoneTexte 5"/>
        <cdr:cNvSpPr txBox="1"/>
      </cdr:nvSpPr>
      <cdr:spPr>
        <a:xfrm xmlns:a="http://schemas.openxmlformats.org/drawingml/2006/main">
          <a:off x="0" y="0"/>
          <a:ext cx="5143500" cy="2920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fr-FR" sz="1100" baseline="0"/>
            <a:t>Ventes locales (mille tonnes)</a:t>
          </a:r>
          <a:endParaRPr lang="fr-F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22</xdr:row>
      <xdr:rowOff>95250</xdr:rowOff>
    </xdr:from>
    <xdr:to>
      <xdr:col>11</xdr:col>
      <xdr:colOff>1019175</xdr:colOff>
      <xdr:row>36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14</xdr:row>
      <xdr:rowOff>57151</xdr:rowOff>
    </xdr:from>
    <xdr:to>
      <xdr:col>7</xdr:col>
      <xdr:colOff>9524</xdr:colOff>
      <xdr:row>26</xdr:row>
      <xdr:rowOff>57151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66675</xdr:colOff>
      <xdr:row>13</xdr:row>
      <xdr:rowOff>142875</xdr:rowOff>
    </xdr:from>
    <xdr:to>
      <xdr:col>14</xdr:col>
      <xdr:colOff>38100</xdr:colOff>
      <xdr:row>24</xdr:row>
      <xdr:rowOff>28575</xdr:rowOff>
    </xdr:to>
    <xdr:grpSp>
      <xdr:nvGrpSpPr>
        <xdr:cNvPr id="25" name="Groupe 24"/>
        <xdr:cNvGrpSpPr/>
      </xdr:nvGrpSpPr>
      <xdr:grpSpPr>
        <a:xfrm>
          <a:off x="9067800" y="3000375"/>
          <a:ext cx="8305800" cy="2028825"/>
          <a:chOff x="4457700" y="3057525"/>
          <a:chExt cx="4600574" cy="2028825"/>
        </a:xfrm>
      </xdr:grpSpPr>
      <xdr:grpSp>
        <xdr:nvGrpSpPr>
          <xdr:cNvPr id="14" name="Groupe 13"/>
          <xdr:cNvGrpSpPr/>
        </xdr:nvGrpSpPr>
        <xdr:grpSpPr>
          <a:xfrm>
            <a:off x="4457700" y="3057525"/>
            <a:ext cx="4600574" cy="2028825"/>
            <a:chOff x="4457700" y="3086100"/>
            <a:chExt cx="4600574" cy="2028825"/>
          </a:xfrm>
        </xdr:grpSpPr>
        <xdr:graphicFrame macro="">
          <xdr:nvGraphicFramePr>
            <xdr:cNvPr id="5" name="Graphique 4"/>
            <xdr:cNvGraphicFramePr/>
          </xdr:nvGraphicFramePr>
          <xdr:xfrm>
            <a:off x="4457700" y="3086100"/>
            <a:ext cx="4600574" cy="20288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6" name="ZoneTexte 5"/>
            <xdr:cNvSpPr txBox="1"/>
          </xdr:nvSpPr>
          <xdr:spPr>
            <a:xfrm>
              <a:off x="5000625" y="4533900"/>
              <a:ext cx="609600" cy="3810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ar-TN" sz="900"/>
                <a:t>الصناعات الغذائية</a:t>
              </a:r>
              <a:endParaRPr lang="fr-FR" sz="900"/>
            </a:p>
          </xdr:txBody>
        </xdr:sp>
        <xdr:sp macro="" textlink="">
          <xdr:nvSpPr>
            <xdr:cNvPr id="8" name="ZoneTexte 7"/>
            <xdr:cNvSpPr txBox="1"/>
          </xdr:nvSpPr>
          <xdr:spPr>
            <a:xfrm>
              <a:off x="5505450" y="4533900"/>
              <a:ext cx="609600" cy="3810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ar-TN" sz="900"/>
                <a:t>الصناعات المختلفة</a:t>
              </a:r>
              <a:endParaRPr lang="fr-FR" sz="900"/>
            </a:p>
          </xdr:txBody>
        </xdr:sp>
        <xdr:sp macro="" textlink="">
          <xdr:nvSpPr>
            <xdr:cNvPr id="9" name="ZoneTexte 8"/>
            <xdr:cNvSpPr txBox="1"/>
          </xdr:nvSpPr>
          <xdr:spPr>
            <a:xfrm>
              <a:off x="6048375" y="4524375"/>
              <a:ext cx="609600" cy="58102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ar-TN" sz="800"/>
                <a:t>صناعات مواد البناء والخزف والبلور</a:t>
              </a:r>
              <a:endParaRPr lang="fr-FR" sz="800"/>
            </a:p>
          </xdr:txBody>
        </xdr:sp>
        <xdr:sp macro="" textlink="">
          <xdr:nvSpPr>
            <xdr:cNvPr id="10" name="ZoneTexte 9"/>
            <xdr:cNvSpPr txBox="1"/>
          </xdr:nvSpPr>
          <xdr:spPr>
            <a:xfrm>
              <a:off x="6572250" y="4524375"/>
              <a:ext cx="609600" cy="4953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ar-TN" sz="900"/>
                <a:t>الصناعات الميكانيكية والكهربائية</a:t>
              </a:r>
              <a:endParaRPr lang="fr-FR" sz="900"/>
            </a:p>
          </xdr:txBody>
        </xdr:sp>
        <xdr:sp macro="" textlink="">
          <xdr:nvSpPr>
            <xdr:cNvPr id="11" name="ZoneTexte 10"/>
            <xdr:cNvSpPr txBox="1"/>
          </xdr:nvSpPr>
          <xdr:spPr>
            <a:xfrm>
              <a:off x="7153275" y="4533900"/>
              <a:ext cx="609600" cy="4953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ar-TN" sz="900"/>
                <a:t>الصيناعات الكيميائية</a:t>
              </a:r>
              <a:endParaRPr lang="fr-FR" sz="900"/>
            </a:p>
          </xdr:txBody>
        </xdr:sp>
        <xdr:sp macro="" textlink="">
          <xdr:nvSpPr>
            <xdr:cNvPr id="13" name="ZoneTexte 12"/>
            <xdr:cNvSpPr txBox="1"/>
          </xdr:nvSpPr>
          <xdr:spPr>
            <a:xfrm>
              <a:off x="8191500" y="4533900"/>
              <a:ext cx="609600" cy="4953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ar-TN" sz="900"/>
                <a:t>صناعة الجلود والاحذية</a:t>
              </a:r>
              <a:endParaRPr lang="fr-FR" sz="900"/>
            </a:p>
          </xdr:txBody>
        </xdr:sp>
      </xdr:grpSp>
      <xdr:sp macro="" textlink="">
        <xdr:nvSpPr>
          <xdr:cNvPr id="15" name="ZoneTexte 14"/>
          <xdr:cNvSpPr txBox="1"/>
        </xdr:nvSpPr>
        <xdr:spPr>
          <a:xfrm>
            <a:off x="7677150" y="4495800"/>
            <a:ext cx="609600" cy="4953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r>
              <a:rPr lang="ar-TN" sz="900"/>
              <a:t>صناعة النسيج والملابس</a:t>
            </a:r>
            <a:endParaRPr lang="fr-FR" sz="900"/>
          </a:p>
        </xdr:txBody>
      </xdr:sp>
    </xdr:grpSp>
    <xdr:clientData/>
  </xdr:twoCellAnchor>
  <xdr:twoCellAnchor>
    <xdr:from>
      <xdr:col>33</xdr:col>
      <xdr:colOff>133350</xdr:colOff>
      <xdr:row>58</xdr:row>
      <xdr:rowOff>0</xdr:rowOff>
    </xdr:from>
    <xdr:to>
      <xdr:col>39</xdr:col>
      <xdr:colOff>133350</xdr:colOff>
      <xdr:row>67</xdr:row>
      <xdr:rowOff>19050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914400</xdr:colOff>
      <xdr:row>4</xdr:row>
      <xdr:rowOff>19052</xdr:rowOff>
    </xdr:from>
    <xdr:to>
      <xdr:col>3</xdr:col>
      <xdr:colOff>1047749</xdr:colOff>
      <xdr:row>4</xdr:row>
      <xdr:rowOff>219076</xdr:rowOff>
    </xdr:to>
    <xdr:sp macro="" textlink="">
      <xdr:nvSpPr>
        <xdr:cNvPr id="16" name="Flèche à angle droit 15"/>
        <xdr:cNvSpPr/>
      </xdr:nvSpPr>
      <xdr:spPr>
        <a:xfrm>
          <a:off x="3886200" y="828677"/>
          <a:ext cx="133349" cy="200024"/>
        </a:xfrm>
        <a:prstGeom prst="bentUp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4</xdr:col>
      <xdr:colOff>828676</xdr:colOff>
      <xdr:row>4</xdr:row>
      <xdr:rowOff>47626</xdr:rowOff>
    </xdr:from>
    <xdr:to>
      <xdr:col>4</xdr:col>
      <xdr:colOff>990600</xdr:colOff>
      <xdr:row>4</xdr:row>
      <xdr:rowOff>238125</xdr:rowOff>
    </xdr:to>
    <xdr:sp macro="" textlink="">
      <xdr:nvSpPr>
        <xdr:cNvPr id="18" name="Demi-tour 17"/>
        <xdr:cNvSpPr/>
      </xdr:nvSpPr>
      <xdr:spPr>
        <a:xfrm>
          <a:off x="4886326" y="857251"/>
          <a:ext cx="161924" cy="190499"/>
        </a:xfrm>
        <a:prstGeom prst="utur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485774</xdr:colOff>
      <xdr:row>12</xdr:row>
      <xdr:rowOff>400050</xdr:rowOff>
    </xdr:from>
    <xdr:to>
      <xdr:col>16</xdr:col>
      <xdr:colOff>238125</xdr:colOff>
      <xdr:row>16</xdr:row>
      <xdr:rowOff>0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15</xdr:row>
      <xdr:rowOff>19050</xdr:rowOff>
    </xdr:from>
    <xdr:to>
      <xdr:col>4</xdr:col>
      <xdr:colOff>762000</xdr:colOff>
      <xdr:row>26</xdr:row>
      <xdr:rowOff>38100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57151</xdr:colOff>
      <xdr:row>13</xdr:row>
      <xdr:rowOff>66675</xdr:rowOff>
    </xdr:from>
    <xdr:to>
      <xdr:col>13</xdr:col>
      <xdr:colOff>2333626</xdr:colOff>
      <xdr:row>25</xdr:row>
      <xdr:rowOff>28575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40</xdr:row>
      <xdr:rowOff>161925</xdr:rowOff>
    </xdr:from>
    <xdr:to>
      <xdr:col>13</xdr:col>
      <xdr:colOff>3133725</xdr:colOff>
      <xdr:row>49</xdr:row>
      <xdr:rowOff>485775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276225</xdr:colOff>
      <xdr:row>40</xdr:row>
      <xdr:rowOff>38100</xdr:rowOff>
    </xdr:from>
    <xdr:to>
      <xdr:col>6</xdr:col>
      <xdr:colOff>685800</xdr:colOff>
      <xdr:row>48</xdr:row>
      <xdr:rowOff>876300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914400</xdr:colOff>
      <xdr:row>52</xdr:row>
      <xdr:rowOff>409575</xdr:rowOff>
    </xdr:from>
    <xdr:to>
      <xdr:col>3</xdr:col>
      <xdr:colOff>1114425</xdr:colOff>
      <xdr:row>52</xdr:row>
      <xdr:rowOff>685800</xdr:rowOff>
    </xdr:to>
    <xdr:sp macro="" textlink="">
      <xdr:nvSpPr>
        <xdr:cNvPr id="16" name="Flèche vers le haut 15"/>
        <xdr:cNvSpPr/>
      </xdr:nvSpPr>
      <xdr:spPr>
        <a:xfrm>
          <a:off x="5715000" y="16802100"/>
          <a:ext cx="200025" cy="2762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rgbClr val="00B050"/>
            </a:solidFill>
          </a:endParaRPr>
        </a:p>
      </xdr:txBody>
    </xdr:sp>
    <xdr:clientData/>
  </xdr:twoCellAnchor>
  <xdr:twoCellAnchor>
    <xdr:from>
      <xdr:col>3</xdr:col>
      <xdr:colOff>895350</xdr:colOff>
      <xdr:row>54</xdr:row>
      <xdr:rowOff>409575</xdr:rowOff>
    </xdr:from>
    <xdr:to>
      <xdr:col>3</xdr:col>
      <xdr:colOff>1104900</xdr:colOff>
      <xdr:row>55</xdr:row>
      <xdr:rowOff>180975</xdr:rowOff>
    </xdr:to>
    <xdr:sp macro="" textlink="">
      <xdr:nvSpPr>
        <xdr:cNvPr id="18" name="Flèche vers le haut 17"/>
        <xdr:cNvSpPr/>
      </xdr:nvSpPr>
      <xdr:spPr>
        <a:xfrm>
          <a:off x="6553200" y="16202025"/>
          <a:ext cx="209550" cy="304800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3</xdr:col>
      <xdr:colOff>895350</xdr:colOff>
      <xdr:row>58</xdr:row>
      <xdr:rowOff>247650</xdr:rowOff>
    </xdr:from>
    <xdr:to>
      <xdr:col>3</xdr:col>
      <xdr:colOff>1095375</xdr:colOff>
      <xdr:row>58</xdr:row>
      <xdr:rowOff>523875</xdr:rowOff>
    </xdr:to>
    <xdr:sp macro="" textlink="">
      <xdr:nvSpPr>
        <xdr:cNvPr id="19" name="Flèche vers le haut 18"/>
        <xdr:cNvSpPr/>
      </xdr:nvSpPr>
      <xdr:spPr>
        <a:xfrm>
          <a:off x="5695950" y="19888200"/>
          <a:ext cx="200025" cy="2762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1114425</xdr:colOff>
      <xdr:row>53</xdr:row>
      <xdr:rowOff>800100</xdr:rowOff>
    </xdr:from>
    <xdr:to>
      <xdr:col>2</xdr:col>
      <xdr:colOff>190500</xdr:colOff>
      <xdr:row>53</xdr:row>
      <xdr:rowOff>1076325</xdr:rowOff>
    </xdr:to>
    <xdr:sp macro="" textlink="">
      <xdr:nvSpPr>
        <xdr:cNvPr id="24" name="Flèche vers le haut 23"/>
        <xdr:cNvSpPr/>
      </xdr:nvSpPr>
      <xdr:spPr>
        <a:xfrm>
          <a:off x="4514850" y="15440025"/>
          <a:ext cx="200025" cy="2762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rgbClr val="00B050"/>
            </a:solidFill>
          </a:endParaRPr>
        </a:p>
      </xdr:txBody>
    </xdr:sp>
    <xdr:clientData/>
  </xdr:twoCellAnchor>
  <xdr:twoCellAnchor>
    <xdr:from>
      <xdr:col>2</xdr:col>
      <xdr:colOff>19050</xdr:colOff>
      <xdr:row>56</xdr:row>
      <xdr:rowOff>419100</xdr:rowOff>
    </xdr:from>
    <xdr:to>
      <xdr:col>2</xdr:col>
      <xdr:colOff>219075</xdr:colOff>
      <xdr:row>56</xdr:row>
      <xdr:rowOff>695325</xdr:rowOff>
    </xdr:to>
    <xdr:sp macro="" textlink="">
      <xdr:nvSpPr>
        <xdr:cNvPr id="25" name="Flèche vers le haut 24"/>
        <xdr:cNvSpPr/>
      </xdr:nvSpPr>
      <xdr:spPr>
        <a:xfrm>
          <a:off x="4543425" y="16906875"/>
          <a:ext cx="200025" cy="2762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rgbClr val="00B050"/>
            </a:solidFill>
          </a:endParaRPr>
        </a:p>
      </xdr:txBody>
    </xdr:sp>
    <xdr:clientData/>
  </xdr:twoCellAnchor>
  <xdr:twoCellAnchor>
    <xdr:from>
      <xdr:col>2</xdr:col>
      <xdr:colOff>1</xdr:colOff>
      <xdr:row>57</xdr:row>
      <xdr:rowOff>95251</xdr:rowOff>
    </xdr:from>
    <xdr:to>
      <xdr:col>2</xdr:col>
      <xdr:colOff>190501</xdr:colOff>
      <xdr:row>57</xdr:row>
      <xdr:rowOff>342901</xdr:rowOff>
    </xdr:to>
    <xdr:sp macro="" textlink="">
      <xdr:nvSpPr>
        <xdr:cNvPr id="26" name="Flèche vers le haut 25"/>
        <xdr:cNvSpPr/>
      </xdr:nvSpPr>
      <xdr:spPr>
        <a:xfrm>
          <a:off x="4524376" y="17306926"/>
          <a:ext cx="190500" cy="247650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rgbClr val="00B050"/>
            </a:solidFill>
          </a:endParaRPr>
        </a:p>
      </xdr:txBody>
    </xdr:sp>
    <xdr:clientData/>
  </xdr:twoCellAnchor>
  <xdr:twoCellAnchor>
    <xdr:from>
      <xdr:col>2</xdr:col>
      <xdr:colOff>19050</xdr:colOff>
      <xdr:row>59</xdr:row>
      <xdr:rowOff>476250</xdr:rowOff>
    </xdr:from>
    <xdr:to>
      <xdr:col>2</xdr:col>
      <xdr:colOff>219075</xdr:colOff>
      <xdr:row>59</xdr:row>
      <xdr:rowOff>752475</xdr:rowOff>
    </xdr:to>
    <xdr:sp macro="" textlink="">
      <xdr:nvSpPr>
        <xdr:cNvPr id="27" name="Flèche vers le haut 26"/>
        <xdr:cNvSpPr/>
      </xdr:nvSpPr>
      <xdr:spPr>
        <a:xfrm>
          <a:off x="3686175" y="20659725"/>
          <a:ext cx="200025" cy="27622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rgbClr val="00B050"/>
            </a:solidFill>
          </a:endParaRPr>
        </a:p>
      </xdr:txBody>
    </xdr:sp>
    <xdr:clientData/>
  </xdr:twoCellAnchor>
  <xdr:twoCellAnchor>
    <xdr:from>
      <xdr:col>2</xdr:col>
      <xdr:colOff>914400</xdr:colOff>
      <xdr:row>54</xdr:row>
      <xdr:rowOff>409575</xdr:rowOff>
    </xdr:from>
    <xdr:to>
      <xdr:col>2</xdr:col>
      <xdr:colOff>1076325</xdr:colOff>
      <xdr:row>55</xdr:row>
      <xdr:rowOff>200025</xdr:rowOff>
    </xdr:to>
    <xdr:sp macro="" textlink="">
      <xdr:nvSpPr>
        <xdr:cNvPr id="15" name="Flèche vers le bas 14"/>
        <xdr:cNvSpPr/>
      </xdr:nvSpPr>
      <xdr:spPr>
        <a:xfrm>
          <a:off x="5438775" y="16202025"/>
          <a:ext cx="161925" cy="323850"/>
        </a:xfrm>
        <a:prstGeom prst="downArrow">
          <a:avLst/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/>
        </a:p>
      </xdr:txBody>
    </xdr:sp>
    <xdr:clientData/>
  </xdr:twoCellAnchor>
  <xdr:twoCellAnchor>
    <xdr:from>
      <xdr:col>1</xdr:col>
      <xdr:colOff>438150</xdr:colOff>
      <xdr:row>66</xdr:row>
      <xdr:rowOff>66675</xdr:rowOff>
    </xdr:from>
    <xdr:to>
      <xdr:col>5</xdr:col>
      <xdr:colOff>161924</xdr:colOff>
      <xdr:row>79</xdr:row>
      <xdr:rowOff>180975</xdr:rowOff>
    </xdr:to>
    <xdr:graphicFrame macro="">
      <xdr:nvGraphicFramePr>
        <xdr:cNvPr id="20" name="Graphique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15</xdr:row>
      <xdr:rowOff>123825</xdr:rowOff>
    </xdr:from>
    <xdr:to>
      <xdr:col>2</xdr:col>
      <xdr:colOff>1743076</xdr:colOff>
      <xdr:row>27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17</xdr:row>
      <xdr:rowOff>19050</xdr:rowOff>
    </xdr:from>
    <xdr:to>
      <xdr:col>7</xdr:col>
      <xdr:colOff>619125</xdr:colOff>
      <xdr:row>30</xdr:row>
      <xdr:rowOff>114300</xdr:rowOff>
    </xdr:to>
    <xdr:graphicFrame macro="">
      <xdr:nvGraphicFramePr>
        <xdr:cNvPr id="2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209550</xdr:colOff>
      <xdr:row>16</xdr:row>
      <xdr:rowOff>142875</xdr:rowOff>
    </xdr:from>
    <xdr:to>
      <xdr:col>17</xdr:col>
      <xdr:colOff>1971675</xdr:colOff>
      <xdr:row>30</xdr:row>
      <xdr:rowOff>47625</xdr:rowOff>
    </xdr:to>
    <xdr:graphicFrame macro="">
      <xdr:nvGraphicFramePr>
        <xdr:cNvPr id="6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lila%20fadhlaoui/Desktop/Note%20fin%20Aout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ed%20travail\&#1578;&#1602;&#1610;&#1610;&#1605;%20&#1573;&#1606;&#1580;&#1575;&#1586;&#1575;&#1578;%20&#1575;&#1604;&#1601;&#1587;&#1601;&#1575;&#1591;\2013\&#1575;&#1604;&#1571;&#1585;&#1602;&#1575;&#1605;%20&#1575;&#1604;&#1605;&#1587;&#1580;&#1604;&#1577;%20&#1601;&#1610;%20&#1603;&#1604;%20&#1588;&#1607;&#1585;%20%202013%20&#1608;&#1602;&#1578;&#161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أوت"/>
    </sheetNames>
    <sheetDataSet>
      <sheetData sheetId="0">
        <row r="15">
          <cell r="AE15">
            <v>2013</v>
          </cell>
          <cell r="AF15">
            <v>2012</v>
          </cell>
          <cell r="AG15">
            <v>2010</v>
          </cell>
        </row>
        <row r="22">
          <cell r="AE22">
            <v>709.80202500000007</v>
          </cell>
          <cell r="AF22">
            <v>762.55200000000002</v>
          </cell>
          <cell r="AG22">
            <v>955.89300000000003</v>
          </cell>
        </row>
        <row r="23">
          <cell r="AE23">
            <v>601.88136800000007</v>
          </cell>
          <cell r="AF23">
            <v>643.23199999999997</v>
          </cell>
          <cell r="AG23">
            <v>855.43100000000004</v>
          </cell>
        </row>
        <row r="31">
          <cell r="AE31">
            <v>477.80599999999998</v>
          </cell>
          <cell r="AF31">
            <v>454.029</v>
          </cell>
          <cell r="AG31">
            <v>781.78499999999997</v>
          </cell>
          <cell r="AH31" t="str">
            <v>الحامض الفسفوري 54%</v>
          </cell>
        </row>
        <row r="32">
          <cell r="AE32">
            <v>349.66800000000001</v>
          </cell>
          <cell r="AF32">
            <v>283.97000000000003</v>
          </cell>
          <cell r="AG32">
            <v>509.13</v>
          </cell>
          <cell r="AH32" t="str">
            <v>ثلاثي الفسفاط الرفيع</v>
          </cell>
        </row>
        <row r="33">
          <cell r="AE33">
            <v>565.43399999999997</v>
          </cell>
          <cell r="AF33">
            <v>441.32799999999997</v>
          </cell>
          <cell r="AG33">
            <v>780.6</v>
          </cell>
          <cell r="AH33" t="str">
            <v>ثاني فسفاط الأمونيا</v>
          </cell>
        </row>
        <row r="34">
          <cell r="AE34">
            <v>33.590000000000003</v>
          </cell>
          <cell r="AF34">
            <v>37.909999999999997</v>
          </cell>
          <cell r="AG34">
            <v>52.38</v>
          </cell>
          <cell r="AH34" t="str">
            <v>ثاني فسفاط الكلس</v>
          </cell>
        </row>
        <row r="35">
          <cell r="AE35">
            <v>82.513999999999996</v>
          </cell>
          <cell r="AF35">
            <v>81.180000000000007</v>
          </cell>
          <cell r="AG35">
            <v>96.63</v>
          </cell>
          <cell r="AH35" t="str">
            <v xml:space="preserve">فسفاط الصوديوم </v>
          </cell>
        </row>
        <row r="45">
          <cell r="AE45">
            <v>179.828</v>
          </cell>
          <cell r="AF45">
            <v>176.268</v>
          </cell>
          <cell r="AG45">
            <v>358.99900000000002</v>
          </cell>
        </row>
        <row r="46">
          <cell r="AE46">
            <v>305.74</v>
          </cell>
          <cell r="AF46">
            <v>330.995</v>
          </cell>
          <cell r="AG46">
            <v>473.18900000000002</v>
          </cell>
        </row>
        <row r="47">
          <cell r="AE47">
            <v>351.07299999999998</v>
          </cell>
          <cell r="AF47">
            <v>384.77800000000002</v>
          </cell>
          <cell r="AG47">
            <v>764.15499999999997</v>
          </cell>
        </row>
        <row r="48">
          <cell r="AE48">
            <v>10.8</v>
          </cell>
          <cell r="AF48">
            <v>19.3</v>
          </cell>
          <cell r="AG48">
            <v>36.94</v>
          </cell>
        </row>
        <row r="49">
          <cell r="AE49">
            <v>85.284999999999997</v>
          </cell>
          <cell r="AF49">
            <v>74.521000000000001</v>
          </cell>
          <cell r="AG49">
            <v>91.257999999999996</v>
          </cell>
        </row>
        <row r="55">
          <cell r="AE55">
            <v>81.28</v>
          </cell>
          <cell r="AF55">
            <v>73.105999999999995</v>
          </cell>
          <cell r="AG55">
            <v>82.808000000000007</v>
          </cell>
          <cell r="AH55" t="str">
            <v>الحامض الفسفوري 54%</v>
          </cell>
        </row>
        <row r="56">
          <cell r="AE56">
            <v>10.019</v>
          </cell>
          <cell r="AF56">
            <v>11.289</v>
          </cell>
          <cell r="AG56">
            <v>9.5719999999999992</v>
          </cell>
          <cell r="AH56" t="str">
            <v>ثلاثي الفسفاط الرفيع</v>
          </cell>
        </row>
        <row r="57">
          <cell r="AE57">
            <v>32.454999999999998</v>
          </cell>
          <cell r="AF57">
            <v>42.652000000000001</v>
          </cell>
          <cell r="AG57">
            <v>31.696999999999999</v>
          </cell>
          <cell r="AH57" t="str">
            <v>ثاني فسفاط الأمونيا</v>
          </cell>
        </row>
        <row r="58">
          <cell r="AE58">
            <v>17.334</v>
          </cell>
          <cell r="AF58">
            <v>16.302</v>
          </cell>
          <cell r="AG58">
            <v>15.685</v>
          </cell>
          <cell r="AH58" t="str">
            <v>ثاني فسفاط الكلس</v>
          </cell>
        </row>
        <row r="59">
          <cell r="AE59">
            <v>2.4700000000000002</v>
          </cell>
          <cell r="AF59">
            <v>2.4809999999999999</v>
          </cell>
          <cell r="AG59">
            <v>4.1230000000000002</v>
          </cell>
          <cell r="AH59" t="str">
            <v xml:space="preserve">فسفاط الصوديوم </v>
          </cell>
        </row>
        <row r="63">
          <cell r="AE63">
            <v>96.181153640000005</v>
          </cell>
          <cell r="AF63">
            <v>105.51766575999999</v>
          </cell>
          <cell r="AG63">
            <v>94.234208879999997</v>
          </cell>
          <cell r="AH63" t="str">
            <v>الكبريت</v>
          </cell>
        </row>
        <row r="64">
          <cell r="AE64">
            <v>79.25151215999999</v>
          </cell>
          <cell r="AF64">
            <v>80.800911100000008</v>
          </cell>
          <cell r="AG64">
            <v>86.161630419999995</v>
          </cell>
          <cell r="AH64" t="str">
            <v>الأمونيا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جانفي"/>
      <sheetName val="فيفري"/>
      <sheetName val="مارس"/>
      <sheetName val="أفريل"/>
      <sheetName val="مـاي"/>
      <sheetName val="جوان"/>
      <sheetName val="جويلية"/>
      <sheetName val="أو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5">
          <cell r="AH45" t="str">
            <v>الحامض الفسفوري 54%</v>
          </cell>
        </row>
        <row r="46">
          <cell r="AH46" t="str">
            <v>ثلاثي الفسفاط الرفيع</v>
          </cell>
        </row>
        <row r="47">
          <cell r="AH47" t="str">
            <v>ثاني فسفاط الأمونيا</v>
          </cell>
        </row>
        <row r="48">
          <cell r="AH48" t="str">
            <v>ثاني فسفاط الكلس</v>
          </cell>
        </row>
        <row r="49">
          <cell r="AH49" t="str">
            <v>فسفاط الصوديوم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E133"/>
  <sheetViews>
    <sheetView tabSelected="1" workbookViewId="0">
      <selection activeCell="F7" sqref="F7"/>
    </sheetView>
  </sheetViews>
  <sheetFormatPr baseColWidth="10" defaultRowHeight="15"/>
  <cols>
    <col min="1" max="1" width="48.28515625" customWidth="1"/>
    <col min="2" max="2" width="15.85546875" customWidth="1"/>
    <col min="3" max="3" width="20.42578125" customWidth="1"/>
    <col min="4" max="4" width="15.85546875" customWidth="1"/>
  </cols>
  <sheetData>
    <row r="2" spans="1:5" ht="21" customHeight="1">
      <c r="A2" s="120"/>
      <c r="B2" s="882" t="s">
        <v>165</v>
      </c>
      <c r="C2" s="882"/>
      <c r="D2" s="882"/>
    </row>
    <row r="3" spans="1:5" ht="15.75" customHeight="1">
      <c r="A3" s="120"/>
      <c r="B3" s="883"/>
      <c r="C3" s="883"/>
      <c r="D3" s="883"/>
    </row>
    <row r="4" spans="1:5" ht="23.25" customHeight="1">
      <c r="A4" s="121"/>
      <c r="B4" s="122" t="s">
        <v>351</v>
      </c>
      <c r="C4" s="122" t="s">
        <v>352</v>
      </c>
      <c r="D4" s="123" t="s">
        <v>166</v>
      </c>
    </row>
    <row r="5" spans="1:5" ht="13.5" customHeight="1">
      <c r="A5" s="264" t="s">
        <v>167</v>
      </c>
      <c r="B5" s="124"/>
      <c r="C5" s="125"/>
      <c r="D5" s="126"/>
    </row>
    <row r="6" spans="1:5" ht="18.75">
      <c r="A6" s="1069" t="s">
        <v>168</v>
      </c>
      <c r="B6" s="1070">
        <f>SUM(B7+B8+B9+B12)</f>
        <v>4569.4134259999992</v>
      </c>
      <c r="C6" s="1070">
        <f>SUM(C7+C8+C9+C12)</f>
        <v>4255.1015879999995</v>
      </c>
      <c r="D6" s="1071">
        <f>C6/B6-1</f>
        <v>-6.8786036345838797E-2</v>
      </c>
      <c r="E6" s="385"/>
    </row>
    <row r="7" spans="1:5" ht="18.75">
      <c r="A7" s="127" t="s">
        <v>305</v>
      </c>
      <c r="B7" s="128">
        <v>2133.4773759999998</v>
      </c>
      <c r="C7" s="128">
        <v>2014.617078</v>
      </c>
      <c r="D7" s="126">
        <f>C7/B7-1</f>
        <v>-5.5712003013056455E-2</v>
      </c>
    </row>
    <row r="8" spans="1:5" ht="18.75">
      <c r="A8" s="127" t="s">
        <v>169</v>
      </c>
      <c r="B8" s="130">
        <v>108.08113</v>
      </c>
      <c r="C8" s="130">
        <v>141.32830999999999</v>
      </c>
      <c r="D8" s="126">
        <f t="shared" ref="D8:D16" si="0">C8/B8-1</f>
        <v>0.30761317909981134</v>
      </c>
    </row>
    <row r="9" spans="1:5" ht="18.75">
      <c r="A9" s="127" t="s">
        <v>170</v>
      </c>
      <c r="B9" s="128">
        <v>2309.2600000000002</v>
      </c>
      <c r="C9" s="128">
        <v>2077.123</v>
      </c>
      <c r="D9" s="126">
        <f>C9/B9-1</f>
        <v>-0.10052441041718996</v>
      </c>
    </row>
    <row r="10" spans="1:5" ht="18.75">
      <c r="A10" s="131" t="s">
        <v>158</v>
      </c>
      <c r="B10" s="128"/>
      <c r="C10" s="128"/>
      <c r="D10" s="126"/>
    </row>
    <row r="11" spans="1:5" ht="18.75">
      <c r="A11" s="131" t="s">
        <v>171</v>
      </c>
      <c r="B11" s="128">
        <v>660.28</v>
      </c>
      <c r="C11" s="128">
        <v>388.39</v>
      </c>
      <c r="D11" s="126">
        <f t="shared" si="0"/>
        <v>-0.41177985097231473</v>
      </c>
    </row>
    <row r="12" spans="1:5" ht="18.75">
      <c r="A12" s="127" t="s">
        <v>172</v>
      </c>
      <c r="B12" s="128">
        <v>18.594919999999998</v>
      </c>
      <c r="C12" s="128">
        <v>22.033200000000001</v>
      </c>
      <c r="D12" s="126">
        <f t="shared" si="0"/>
        <v>0.18490426417537709</v>
      </c>
    </row>
    <row r="13" spans="1:5" ht="18.75">
      <c r="A13" s="568" t="s">
        <v>173</v>
      </c>
      <c r="B13" s="861">
        <f>SUM(B14:B16)</f>
        <v>5787.5969509999995</v>
      </c>
      <c r="C13" s="861">
        <f>SUM(C14:C16)</f>
        <v>5785.2478039999996</v>
      </c>
      <c r="D13" s="879">
        <f>C13/B13-1</f>
        <v>-4.0589333014873219E-4</v>
      </c>
      <c r="E13" s="133"/>
    </row>
    <row r="14" spans="1:5" ht="18.75">
      <c r="A14" s="127" t="s">
        <v>306</v>
      </c>
      <c r="B14" s="128">
        <v>2551.5920310000001</v>
      </c>
      <c r="C14" s="128">
        <v>2565.1276039999998</v>
      </c>
      <c r="D14" s="126">
        <f t="shared" si="0"/>
        <v>5.3047559467001015E-3</v>
      </c>
      <c r="E14" s="133"/>
    </row>
    <row r="15" spans="1:5" ht="18.75">
      <c r="A15" s="127" t="s">
        <v>170</v>
      </c>
      <c r="B15" s="128">
        <v>3217.41</v>
      </c>
      <c r="C15" s="128">
        <v>3198.087</v>
      </c>
      <c r="D15" s="126">
        <f t="shared" si="0"/>
        <v>-6.0057623989482334E-3</v>
      </c>
    </row>
    <row r="16" spans="1:5" ht="18.75">
      <c r="A16" s="127" t="s">
        <v>174</v>
      </c>
      <c r="B16" s="128">
        <v>18.594919999999998</v>
      </c>
      <c r="C16" s="128">
        <v>22.033200000000001</v>
      </c>
      <c r="D16" s="126">
        <f t="shared" si="0"/>
        <v>0.18490426417537709</v>
      </c>
    </row>
    <row r="17" spans="1:5" ht="18.75">
      <c r="A17" s="369" t="s">
        <v>175</v>
      </c>
      <c r="B17" s="569">
        <f>B6-B13</f>
        <v>-1218.1835250000004</v>
      </c>
      <c r="C17" s="569">
        <f>C6-C13</f>
        <v>-1530.1462160000001</v>
      </c>
      <c r="D17" s="570">
        <f>C17/B17-1</f>
        <v>0.25608841738357913</v>
      </c>
      <c r="E17" s="118"/>
    </row>
    <row r="18" spans="1:5" ht="15.75">
      <c r="A18" s="884"/>
      <c r="B18" s="884"/>
      <c r="C18" s="884"/>
      <c r="D18" s="884"/>
    </row>
    <row r="19" spans="1:5" ht="18">
      <c r="A19" s="112"/>
      <c r="B19" s="112"/>
      <c r="C19" s="397"/>
      <c r="D19" s="112"/>
      <c r="E19" s="107"/>
    </row>
    <row r="20" spans="1:5" ht="18">
      <c r="A20" s="112"/>
      <c r="B20" s="112"/>
      <c r="C20" s="134"/>
      <c r="D20" s="112"/>
    </row>
    <row r="25" spans="1:5" ht="22.5">
      <c r="A25" s="880" t="s">
        <v>176</v>
      </c>
      <c r="B25" s="880"/>
      <c r="C25" s="880"/>
      <c r="D25" s="880"/>
    </row>
    <row r="26" spans="1:5">
      <c r="A26" s="135"/>
      <c r="B26" s="135"/>
      <c r="C26" s="135"/>
      <c r="D26" s="1"/>
    </row>
    <row r="27" spans="1:5" ht="49.5">
      <c r="A27" s="136"/>
      <c r="B27" s="226" t="s">
        <v>352</v>
      </c>
      <c r="C27" s="226" t="s">
        <v>228</v>
      </c>
      <c r="D27" s="138" t="s">
        <v>177</v>
      </c>
    </row>
    <row r="28" spans="1:5" ht="18.75">
      <c r="A28" s="398" t="s">
        <v>413</v>
      </c>
      <c r="B28" s="399">
        <v>34761</v>
      </c>
      <c r="C28" s="399">
        <v>67000</v>
      </c>
      <c r="D28" s="227">
        <v>0.52</v>
      </c>
    </row>
    <row r="29" spans="1:5" ht="6.75" customHeight="1">
      <c r="A29" s="132"/>
      <c r="B29" s="400"/>
      <c r="C29" s="400"/>
      <c r="D29" s="401"/>
    </row>
    <row r="30" spans="1:5" ht="18.75">
      <c r="A30" s="384"/>
      <c r="B30" s="382"/>
      <c r="C30" s="382"/>
      <c r="D30" s="383"/>
    </row>
    <row r="42" spans="1:4" ht="22.5">
      <c r="A42" s="880" t="s">
        <v>178</v>
      </c>
      <c r="B42" s="880"/>
      <c r="C42" s="880"/>
      <c r="D42" s="880"/>
    </row>
    <row r="43" spans="1:4">
      <c r="A43" s="135"/>
      <c r="B43" s="135"/>
      <c r="C43" s="135"/>
      <c r="D43" s="140"/>
    </row>
    <row r="44" spans="1:4" ht="47.25">
      <c r="A44" s="136"/>
      <c r="B44" s="226" t="s">
        <v>392</v>
      </c>
      <c r="C44" s="226" t="s">
        <v>228</v>
      </c>
      <c r="D44" s="141" t="s">
        <v>177</v>
      </c>
    </row>
    <row r="45" spans="1:4" ht="45" customHeight="1">
      <c r="A45" s="142" t="s">
        <v>179</v>
      </c>
      <c r="B45" s="139"/>
      <c r="C45" s="139"/>
      <c r="D45" s="227"/>
    </row>
    <row r="49" spans="1:4" ht="22.5">
      <c r="A49" s="880" t="s">
        <v>229</v>
      </c>
      <c r="B49" s="880"/>
      <c r="C49" s="880"/>
      <c r="D49" s="880"/>
    </row>
    <row r="50" spans="1:4">
      <c r="A50" s="135"/>
      <c r="B50" s="135"/>
      <c r="C50" s="135"/>
      <c r="D50" s="140"/>
    </row>
    <row r="51" spans="1:4" ht="46.5" customHeight="1">
      <c r="A51" s="136"/>
      <c r="B51" s="226" t="s">
        <v>352</v>
      </c>
      <c r="C51" s="226" t="s">
        <v>228</v>
      </c>
      <c r="D51" s="141" t="s">
        <v>177</v>
      </c>
    </row>
    <row r="52" spans="1:4" ht="36.75" customHeight="1">
      <c r="A52" s="142" t="s">
        <v>230</v>
      </c>
      <c r="B52" s="139"/>
      <c r="C52" s="139"/>
      <c r="D52" s="227" t="e">
        <f>B52/C52</f>
        <v>#DIV/0!</v>
      </c>
    </row>
    <row r="57" spans="1:4" ht="22.5">
      <c r="A57" s="880" t="s">
        <v>180</v>
      </c>
      <c r="B57" s="880"/>
      <c r="C57" s="880"/>
      <c r="D57" s="880"/>
    </row>
    <row r="58" spans="1:4" ht="18.75">
      <c r="A58" s="135"/>
      <c r="B58" s="881" t="s">
        <v>414</v>
      </c>
      <c r="C58" s="881"/>
      <c r="D58" s="143"/>
    </row>
    <row r="59" spans="1:4" ht="18.75">
      <c r="A59" s="136"/>
      <c r="B59" s="137" t="s">
        <v>93</v>
      </c>
      <c r="C59" s="137" t="s">
        <v>92</v>
      </c>
      <c r="D59" s="144" t="s">
        <v>166</v>
      </c>
    </row>
    <row r="60" spans="1:4" ht="20.25">
      <c r="A60" s="145" t="s">
        <v>232</v>
      </c>
      <c r="B60" s="146"/>
      <c r="C60" s="146"/>
      <c r="D60" s="147" t="e">
        <f>C60/B60-1</f>
        <v>#DIV/0!</v>
      </c>
    </row>
    <row r="61" spans="1:4" ht="54" customHeight="1">
      <c r="A61" s="148" t="s">
        <v>231</v>
      </c>
      <c r="B61" s="228"/>
      <c r="C61" s="228"/>
      <c r="D61" s="229" t="e">
        <f>C61/B61-1</f>
        <v>#DIV/0!</v>
      </c>
    </row>
    <row r="62" spans="1:4">
      <c r="A62" s="150"/>
      <c r="B62" s="150"/>
      <c r="C62" s="150"/>
      <c r="D62" s="150"/>
    </row>
    <row r="66" ht="20.25" customHeight="1"/>
    <row r="99" spans="1:5" ht="19.5" customHeight="1"/>
    <row r="100" spans="1:5" ht="27" customHeight="1"/>
    <row r="101" spans="1:5" s="1" customFormat="1">
      <c r="A101"/>
      <c r="B101"/>
      <c r="C101"/>
      <c r="D101"/>
    </row>
    <row r="106" spans="1:5" ht="22.5" customHeight="1">
      <c r="E106" s="160"/>
    </row>
    <row r="107" spans="1:5">
      <c r="A107" s="157"/>
      <c r="B107" s="157"/>
      <c r="C107" s="283"/>
      <c r="D107" s="157"/>
    </row>
    <row r="111" spans="1:5" ht="22.5" customHeight="1">
      <c r="E111" s="160"/>
    </row>
    <row r="112" spans="1:5">
      <c r="A112" s="157"/>
      <c r="B112" s="157"/>
      <c r="C112" s="283"/>
      <c r="D112" s="157"/>
    </row>
    <row r="115" spans="5:5" ht="18.75">
      <c r="E115" s="152"/>
    </row>
    <row r="116" spans="5:5" ht="18.75">
      <c r="E116" s="152"/>
    </row>
    <row r="117" spans="5:5" ht="18.75">
      <c r="E117" s="152"/>
    </row>
    <row r="118" spans="5:5" ht="18.75">
      <c r="E118" s="152"/>
    </row>
    <row r="119" spans="5:5" ht="18.75">
      <c r="E119" s="152"/>
    </row>
    <row r="120" spans="5:5" ht="18.75">
      <c r="E120" s="152"/>
    </row>
    <row r="121" spans="5:5" ht="18.75">
      <c r="E121" s="152"/>
    </row>
    <row r="122" spans="5:5" ht="18.75">
      <c r="E122" s="152"/>
    </row>
    <row r="123" spans="5:5" ht="18.75">
      <c r="E123" s="152"/>
    </row>
    <row r="124" spans="5:5" ht="18.75">
      <c r="E124" s="152"/>
    </row>
    <row r="125" spans="5:5" ht="18.75">
      <c r="E125" s="152"/>
    </row>
    <row r="126" spans="5:5" ht="18.75">
      <c r="E126" s="152"/>
    </row>
    <row r="127" spans="5:5" ht="18.75">
      <c r="E127" s="152"/>
    </row>
    <row r="128" spans="5:5" ht="18.75">
      <c r="E128" s="152"/>
    </row>
    <row r="129" spans="5:5" ht="13.5" customHeight="1">
      <c r="E129" s="149"/>
    </row>
    <row r="130" spans="5:5" ht="18.75">
      <c r="E130" s="153"/>
    </row>
    <row r="131" spans="5:5" ht="18.75">
      <c r="E131" s="154"/>
    </row>
    <row r="132" spans="5:5" ht="24" customHeight="1">
      <c r="E132" s="153"/>
    </row>
    <row r="133" spans="5:5" ht="18.75" customHeight="1">
      <c r="E133" s="155"/>
    </row>
  </sheetData>
  <mergeCells count="8">
    <mergeCell ref="B2:D2"/>
    <mergeCell ref="B3:D3"/>
    <mergeCell ref="A18:D18"/>
    <mergeCell ref="A25:D25"/>
    <mergeCell ref="A42:D42"/>
    <mergeCell ref="A57:D57"/>
    <mergeCell ref="B58:C58"/>
    <mergeCell ref="A49:D49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1:X39"/>
  <sheetViews>
    <sheetView topLeftCell="D1" workbookViewId="0">
      <selection activeCell="L2" sqref="L2:O6"/>
    </sheetView>
  </sheetViews>
  <sheetFormatPr baseColWidth="10" defaultRowHeight="15"/>
  <cols>
    <col min="3" max="3" width="37.42578125" customWidth="1"/>
    <col min="4" max="7" width="13.5703125" customWidth="1"/>
    <col min="11" max="13" width="14.85546875" customWidth="1"/>
    <col min="14" max="14" width="33.85546875" customWidth="1"/>
    <col min="15" max="17" width="15.28515625" customWidth="1"/>
    <col min="18" max="18" width="34.42578125" customWidth="1"/>
  </cols>
  <sheetData>
    <row r="1" spans="3:24" ht="15.75" thickBot="1"/>
    <row r="2" spans="3:24" ht="21.75" thickBot="1">
      <c r="L2" s="719" t="s">
        <v>384</v>
      </c>
      <c r="M2" s="719" t="s">
        <v>385</v>
      </c>
      <c r="N2" s="719" t="s">
        <v>387</v>
      </c>
    </row>
    <row r="3" spans="3:24" ht="21" thickBot="1">
      <c r="L3" s="720">
        <f>G8</f>
        <v>1087.5</v>
      </c>
      <c r="M3" s="721">
        <f>F8</f>
        <v>1095.4000000000001</v>
      </c>
      <c r="N3" s="725">
        <f>D8</f>
        <v>1337.3</v>
      </c>
      <c r="O3" s="722" t="s">
        <v>343</v>
      </c>
    </row>
    <row r="4" spans="3:24" ht="21.75" thickBot="1">
      <c r="L4" s="723"/>
      <c r="M4" s="724"/>
      <c r="N4" s="724"/>
      <c r="O4" s="728" t="s">
        <v>388</v>
      </c>
    </row>
    <row r="5" spans="3:24" ht="34.5" customHeight="1" thickBot="1">
      <c r="D5" s="1048" t="s">
        <v>341</v>
      </c>
      <c r="E5" s="1048"/>
      <c r="F5" s="1048"/>
      <c r="G5" s="1048"/>
      <c r="H5" s="1048"/>
      <c r="I5" s="1048"/>
      <c r="J5" s="1048"/>
      <c r="L5" s="718">
        <f>G10</f>
        <v>320</v>
      </c>
      <c r="M5" s="716">
        <f>F10</f>
        <v>313.39999999999998</v>
      </c>
      <c r="N5" s="726">
        <f>D10</f>
        <v>305.10000000000002</v>
      </c>
      <c r="O5" s="717" t="s">
        <v>157</v>
      </c>
    </row>
    <row r="6" spans="3:24" ht="28.5" customHeight="1" thickTop="1" thickBot="1">
      <c r="D6" s="1044" t="s">
        <v>382</v>
      </c>
      <c r="E6" s="1045"/>
      <c r="F6" s="1045"/>
      <c r="G6" s="1045"/>
      <c r="H6" s="1046" t="s">
        <v>83</v>
      </c>
      <c r="I6" s="1047"/>
      <c r="J6" s="1047"/>
      <c r="L6" s="718">
        <f>G11</f>
        <v>580</v>
      </c>
      <c r="M6" s="716">
        <f>F11</f>
        <v>590</v>
      </c>
      <c r="N6" s="726">
        <f>D11</f>
        <v>860</v>
      </c>
      <c r="O6" s="727" t="s">
        <v>154</v>
      </c>
    </row>
    <row r="7" spans="3:24" ht="20.25" thickTop="1" thickBot="1">
      <c r="C7" s="711"/>
      <c r="D7" s="166">
        <v>2010</v>
      </c>
      <c r="E7" s="166">
        <v>2011</v>
      </c>
      <c r="F7" s="166">
        <v>2012</v>
      </c>
      <c r="G7" s="166">
        <v>2013</v>
      </c>
      <c r="H7" s="174" t="s">
        <v>181</v>
      </c>
      <c r="I7" s="174" t="s">
        <v>224</v>
      </c>
      <c r="J7" s="174" t="s">
        <v>225</v>
      </c>
      <c r="L7" s="60"/>
      <c r="M7" s="116" t="s">
        <v>365</v>
      </c>
      <c r="N7" s="116" t="s">
        <v>366</v>
      </c>
      <c r="O7" s="116" t="s">
        <v>367</v>
      </c>
      <c r="P7" s="116" t="s">
        <v>383</v>
      </c>
      <c r="Q7" s="60"/>
      <c r="R7" s="60"/>
      <c r="S7" s="115" t="s">
        <v>162</v>
      </c>
      <c r="T7" s="115" t="s">
        <v>161</v>
      </c>
      <c r="U7" s="115" t="s">
        <v>163</v>
      </c>
      <c r="V7" s="60"/>
      <c r="W7" s="60"/>
      <c r="X7" s="33"/>
    </row>
    <row r="8" spans="3:24" ht="29.25" customHeight="1" thickTop="1">
      <c r="C8" s="712" t="s">
        <v>155</v>
      </c>
      <c r="D8" s="713">
        <v>1337.3</v>
      </c>
      <c r="E8" s="713">
        <v>1099.4000000000001</v>
      </c>
      <c r="F8" s="714">
        <v>1095.4000000000001</v>
      </c>
      <c r="G8" s="715">
        <v>1087.5</v>
      </c>
      <c r="H8" s="710">
        <f>G8/F8-1</f>
        <v>-7.2119773598686709E-3</v>
      </c>
      <c r="I8" s="710">
        <f>G8/E8-1</f>
        <v>-1.0824085865017374E-2</v>
      </c>
      <c r="J8" s="710">
        <f>G8/D8-1</f>
        <v>-0.18679428699618628</v>
      </c>
      <c r="L8" s="60" t="s">
        <v>156</v>
      </c>
      <c r="M8" s="167">
        <f>D10</f>
        <v>305.10000000000002</v>
      </c>
      <c r="N8" s="167">
        <f t="shared" ref="N8:P8" si="0">E10</f>
        <v>245.2</v>
      </c>
      <c r="O8" s="167">
        <f t="shared" si="0"/>
        <v>313.39999999999998</v>
      </c>
      <c r="P8" s="167">
        <f t="shared" si="0"/>
        <v>320</v>
      </c>
      <c r="Q8" s="117"/>
      <c r="S8" s="109">
        <v>181.35</v>
      </c>
      <c r="T8" s="109">
        <v>212</v>
      </c>
      <c r="U8" s="110">
        <v>178.5</v>
      </c>
      <c r="V8" s="60"/>
      <c r="W8" s="112"/>
    </row>
    <row r="9" spans="3:24" ht="19.5" thickBot="1">
      <c r="C9" s="173" t="s">
        <v>158</v>
      </c>
      <c r="D9" s="170"/>
      <c r="E9" s="170"/>
      <c r="F9" s="171"/>
      <c r="G9" s="172"/>
      <c r="H9" s="207"/>
      <c r="I9" s="207"/>
      <c r="J9" s="207"/>
      <c r="L9" s="60" t="s">
        <v>159</v>
      </c>
      <c r="M9" s="164">
        <f>D11</f>
        <v>860</v>
      </c>
      <c r="N9" s="164">
        <f t="shared" ref="N9:P9" si="1">E11</f>
        <v>720</v>
      </c>
      <c r="O9" s="164">
        <f t="shared" si="1"/>
        <v>590</v>
      </c>
      <c r="P9" s="164">
        <f t="shared" si="1"/>
        <v>580</v>
      </c>
      <c r="S9" s="111">
        <v>360</v>
      </c>
      <c r="T9" s="111">
        <v>408</v>
      </c>
      <c r="U9" s="111">
        <v>480</v>
      </c>
      <c r="V9" s="60"/>
      <c r="W9" s="112"/>
    </row>
    <row r="10" spans="3:24" ht="19.5" thickTop="1">
      <c r="C10" s="104" t="s">
        <v>160</v>
      </c>
      <c r="D10" s="167">
        <v>305.10000000000002</v>
      </c>
      <c r="E10" s="168">
        <v>245.2</v>
      </c>
      <c r="F10" s="165">
        <v>313.39999999999998</v>
      </c>
      <c r="G10" s="163">
        <v>320</v>
      </c>
      <c r="H10" s="386">
        <f>$G$10/F10-1</f>
        <v>2.1059349074665112E-2</v>
      </c>
      <c r="I10" s="386">
        <f>$G$10/E10-1</f>
        <v>0.30505709624796085</v>
      </c>
      <c r="J10" s="386">
        <f>$G$10/D10-1</f>
        <v>4.8836447066535449E-2</v>
      </c>
      <c r="L10" s="60" t="s">
        <v>342</v>
      </c>
      <c r="M10" s="162">
        <f>D8</f>
        <v>1337.3</v>
      </c>
      <c r="N10" s="162">
        <f t="shared" ref="N10:P10" si="2">E8</f>
        <v>1099.4000000000001</v>
      </c>
      <c r="O10" s="162">
        <f t="shared" si="2"/>
        <v>1095.4000000000001</v>
      </c>
      <c r="P10" s="162">
        <f t="shared" si="2"/>
        <v>1087.5</v>
      </c>
      <c r="Q10" s="117"/>
      <c r="S10" s="108">
        <v>687.06</v>
      </c>
      <c r="T10" s="108">
        <v>809.4</v>
      </c>
      <c r="U10" s="108">
        <v>792.2</v>
      </c>
      <c r="V10" s="60"/>
      <c r="W10" s="112"/>
      <c r="X10" s="105"/>
    </row>
    <row r="11" spans="3:24" ht="16.5" thickBot="1">
      <c r="C11" s="106" t="s">
        <v>159</v>
      </c>
      <c r="D11" s="164">
        <v>860</v>
      </c>
      <c r="E11" s="164">
        <v>720</v>
      </c>
      <c r="F11" s="169">
        <v>590</v>
      </c>
      <c r="G11" s="169">
        <v>580</v>
      </c>
      <c r="H11" s="709">
        <f>$G$11/F11-1</f>
        <v>-1.6949152542372836E-2</v>
      </c>
      <c r="I11" s="709">
        <f>$G$11/E11-1</f>
        <v>-0.19444444444444442</v>
      </c>
      <c r="J11" s="709">
        <f>$G$11/D11-1</f>
        <v>-0.32558139534883723</v>
      </c>
      <c r="K11" s="271"/>
      <c r="L11" s="107"/>
      <c r="M11" s="107"/>
      <c r="N11" s="107"/>
      <c r="O11" s="107"/>
      <c r="P11" s="33"/>
    </row>
    <row r="12" spans="3:24" ht="15.75" thickTop="1">
      <c r="C12" t="s">
        <v>159</v>
      </c>
      <c r="D12" s="118">
        <f t="shared" ref="D12:F12" si="3">D11/D8</f>
        <v>0.64308681672025725</v>
      </c>
      <c r="E12" s="118">
        <f t="shared" si="3"/>
        <v>0.65490267418591952</v>
      </c>
      <c r="F12" s="118">
        <f t="shared" si="3"/>
        <v>0.53861603067372643</v>
      </c>
      <c r="G12" s="118">
        <f>G11/G8</f>
        <v>0.53333333333333333</v>
      </c>
      <c r="H12" s="118"/>
      <c r="L12" s="107"/>
      <c r="M12" s="107"/>
      <c r="N12" t="s">
        <v>387</v>
      </c>
      <c r="O12" t="s">
        <v>386</v>
      </c>
      <c r="P12" t="s">
        <v>385</v>
      </c>
      <c r="Q12" t="s">
        <v>384</v>
      </c>
    </row>
    <row r="13" spans="3:24" ht="18">
      <c r="C13" t="s">
        <v>160</v>
      </c>
      <c r="D13" s="118">
        <f>D10/D8</f>
        <v>0.22814626486203546</v>
      </c>
      <c r="E13" s="118">
        <f t="shared" ref="E13:G13" si="4">E10/E8</f>
        <v>0.2230307440422048</v>
      </c>
      <c r="F13" s="118">
        <f t="shared" si="4"/>
        <v>0.28610553222567092</v>
      </c>
      <c r="G13" s="118">
        <f t="shared" si="4"/>
        <v>0.29425287356321839</v>
      </c>
      <c r="H13" s="118"/>
      <c r="M13" s="114" t="s">
        <v>157</v>
      </c>
      <c r="N13" s="167">
        <f>M8</f>
        <v>305.10000000000002</v>
      </c>
      <c r="O13" s="167">
        <f t="shared" ref="O13:Q13" si="5">N8</f>
        <v>245.2</v>
      </c>
      <c r="P13" s="167">
        <f t="shared" si="5"/>
        <v>313.39999999999998</v>
      </c>
      <c r="Q13" s="167">
        <f t="shared" si="5"/>
        <v>320</v>
      </c>
    </row>
    <row r="14" spans="3:24" ht="18.75" thickBot="1">
      <c r="D14" s="118">
        <f>SUM(D12:D13)</f>
        <v>0.87123308158229273</v>
      </c>
      <c r="E14" s="118">
        <f t="shared" ref="E14:G14" si="6">SUM(E12:E13)</f>
        <v>0.87793341822812432</v>
      </c>
      <c r="F14" s="118">
        <f t="shared" si="6"/>
        <v>0.82472156289939735</v>
      </c>
      <c r="G14" s="118">
        <f t="shared" si="6"/>
        <v>0.82758620689655171</v>
      </c>
      <c r="H14" s="118"/>
      <c r="M14" s="112" t="s">
        <v>154</v>
      </c>
      <c r="N14" s="164">
        <f>M9</f>
        <v>860</v>
      </c>
      <c r="O14" s="164">
        <f t="shared" ref="O14:Q14" si="7">N9</f>
        <v>720</v>
      </c>
      <c r="P14" s="164">
        <f t="shared" si="7"/>
        <v>590</v>
      </c>
      <c r="Q14" s="164">
        <f t="shared" si="7"/>
        <v>580</v>
      </c>
    </row>
    <row r="15" spans="3:24" ht="19.5" thickTop="1">
      <c r="M15" s="112" t="s">
        <v>343</v>
      </c>
      <c r="N15" s="162">
        <f>M10</f>
        <v>1337.3</v>
      </c>
      <c r="O15" s="162">
        <f t="shared" ref="O15:Q15" si="8">N10</f>
        <v>1099.4000000000001</v>
      </c>
      <c r="P15" s="162">
        <f t="shared" si="8"/>
        <v>1095.4000000000001</v>
      </c>
      <c r="Q15" s="162">
        <f t="shared" si="8"/>
        <v>1087.5</v>
      </c>
    </row>
    <row r="27" spans="19:20" ht="18">
      <c r="S27" s="113"/>
      <c r="T27" s="113"/>
    </row>
    <row r="28" spans="19:20" ht="18">
      <c r="S28" s="113"/>
      <c r="T28" s="113"/>
    </row>
    <row r="37" spans="11:11">
      <c r="K37" s="294"/>
    </row>
    <row r="38" spans="11:11">
      <c r="K38" s="294"/>
    </row>
    <row r="39" spans="11:11">
      <c r="K39" s="294"/>
    </row>
  </sheetData>
  <mergeCells count="3">
    <mergeCell ref="D6:G6"/>
    <mergeCell ref="H6:J6"/>
    <mergeCell ref="D5:J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B5:L33"/>
  <sheetViews>
    <sheetView topLeftCell="C7" workbookViewId="0">
      <selection activeCell="G24" sqref="G24"/>
    </sheetView>
  </sheetViews>
  <sheetFormatPr baseColWidth="10" defaultRowHeight="15"/>
  <cols>
    <col min="2" max="2" width="46.5703125" customWidth="1"/>
    <col min="3" max="3" width="16.85546875" customWidth="1"/>
    <col min="4" max="4" width="18.28515625" customWidth="1"/>
    <col min="5" max="5" width="16.7109375" customWidth="1"/>
    <col min="12" max="12" width="16.5703125" customWidth="1"/>
    <col min="15" max="15" width="18.85546875" customWidth="1"/>
  </cols>
  <sheetData>
    <row r="5" spans="2:12" ht="25.5">
      <c r="B5" s="1049" t="s">
        <v>233</v>
      </c>
      <c r="C5" s="1049"/>
      <c r="D5" s="1049"/>
      <c r="E5" s="1049"/>
      <c r="F5" s="1049"/>
      <c r="G5" s="1049"/>
      <c r="H5" s="1049"/>
      <c r="I5" s="1049"/>
      <c r="J5" s="1049"/>
      <c r="K5" s="1049"/>
      <c r="L5" s="231"/>
    </row>
    <row r="6" spans="2:12" ht="1.5" customHeight="1"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1"/>
    </row>
    <row r="7" spans="2:12" ht="15.75" thickBot="1">
      <c r="B7" s="135"/>
      <c r="C7" s="135"/>
      <c r="D7" s="135"/>
      <c r="E7" s="135"/>
      <c r="F7" s="135"/>
      <c r="G7" s="135"/>
      <c r="H7" s="135"/>
      <c r="I7" s="135"/>
      <c r="J7" s="135"/>
      <c r="K7" s="135"/>
    </row>
    <row r="8" spans="2:12" ht="41.25" thickBot="1">
      <c r="B8" s="233"/>
      <c r="C8" s="233">
        <v>2004</v>
      </c>
      <c r="D8" s="233">
        <v>2005</v>
      </c>
      <c r="E8" s="233">
        <v>2006</v>
      </c>
      <c r="F8" s="233">
        <v>2007</v>
      </c>
      <c r="G8" s="233">
        <v>2008</v>
      </c>
      <c r="H8" s="234">
        <v>2009</v>
      </c>
      <c r="I8" s="234">
        <v>2010</v>
      </c>
      <c r="J8" s="234">
        <v>2011</v>
      </c>
      <c r="K8" s="234">
        <v>2012</v>
      </c>
      <c r="L8" s="234" t="s">
        <v>399</v>
      </c>
    </row>
    <row r="9" spans="2:12" ht="45.75" customHeight="1" thickBot="1">
      <c r="B9" s="235" t="s">
        <v>234</v>
      </c>
      <c r="C9" s="236">
        <v>342</v>
      </c>
      <c r="D9" s="236">
        <v>518</v>
      </c>
      <c r="E9" s="236">
        <v>931</v>
      </c>
      <c r="F9" s="236">
        <v>1187</v>
      </c>
      <c r="G9" s="236">
        <v>1912</v>
      </c>
      <c r="H9" s="236">
        <v>2064</v>
      </c>
      <c r="I9" s="236">
        <v>2712</v>
      </c>
      <c r="J9" s="236">
        <v>1763</v>
      </c>
      <c r="K9" s="236">
        <v>1792</v>
      </c>
      <c r="L9" s="236">
        <v>1102</v>
      </c>
    </row>
    <row r="10" spans="2:12" ht="21" thickBot="1">
      <c r="B10" s="233" t="s">
        <v>235</v>
      </c>
      <c r="C10" s="237">
        <v>300</v>
      </c>
      <c r="D10" s="237">
        <v>402</v>
      </c>
      <c r="E10" s="237">
        <v>605</v>
      </c>
      <c r="F10" s="237">
        <v>833</v>
      </c>
      <c r="G10" s="237">
        <v>1373</v>
      </c>
      <c r="H10" s="237">
        <v>1586</v>
      </c>
      <c r="I10" s="237">
        <v>1622</v>
      </c>
      <c r="J10" s="237">
        <v>825</v>
      </c>
      <c r="K10" s="237">
        <v>981</v>
      </c>
      <c r="L10" s="237">
        <v>590</v>
      </c>
    </row>
    <row r="11" spans="2:12" ht="29.25" customHeight="1" thickBot="1">
      <c r="B11" s="238" t="s">
        <v>236</v>
      </c>
      <c r="C11" s="236" t="s">
        <v>0</v>
      </c>
      <c r="D11" s="236">
        <v>34</v>
      </c>
      <c r="E11" s="236">
        <v>44</v>
      </c>
      <c r="F11" s="236">
        <v>103</v>
      </c>
      <c r="G11" s="236">
        <v>157</v>
      </c>
      <c r="H11" s="236">
        <v>95</v>
      </c>
      <c r="I11" s="236" t="s">
        <v>0</v>
      </c>
      <c r="J11" s="236" t="s">
        <v>0</v>
      </c>
      <c r="K11" s="236" t="s">
        <v>0</v>
      </c>
      <c r="L11" s="236" t="s">
        <v>0</v>
      </c>
    </row>
    <row r="12" spans="2:12" ht="21" thickBot="1">
      <c r="B12" s="233" t="s">
        <v>237</v>
      </c>
      <c r="C12" s="237">
        <v>6</v>
      </c>
      <c r="D12" s="237">
        <v>16</v>
      </c>
      <c r="E12" s="237">
        <v>21</v>
      </c>
      <c r="F12" s="237">
        <v>27</v>
      </c>
      <c r="G12" s="237">
        <v>40</v>
      </c>
      <c r="H12" s="237">
        <v>54</v>
      </c>
      <c r="I12" s="237">
        <v>81</v>
      </c>
      <c r="J12" s="237">
        <v>78</v>
      </c>
      <c r="K12" s="237">
        <v>95</v>
      </c>
      <c r="L12" s="237">
        <v>57</v>
      </c>
    </row>
    <row r="13" spans="2:12" ht="9.75" customHeight="1" thickBot="1">
      <c r="B13" s="239"/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2:12" ht="21" thickBot="1">
      <c r="B14" s="238" t="s">
        <v>238</v>
      </c>
      <c r="C14" s="236">
        <v>34</v>
      </c>
      <c r="D14" s="236">
        <v>61</v>
      </c>
      <c r="E14" s="236">
        <v>82</v>
      </c>
      <c r="F14" s="236">
        <v>106</v>
      </c>
      <c r="G14" s="236">
        <v>160</v>
      </c>
      <c r="H14" s="236">
        <v>194</v>
      </c>
      <c r="I14" s="236">
        <v>202</v>
      </c>
      <c r="J14" s="236">
        <v>192</v>
      </c>
      <c r="K14" s="236">
        <v>179</v>
      </c>
      <c r="L14" s="236">
        <v>191</v>
      </c>
    </row>
    <row r="15" spans="2:12"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6" spans="2:12">
      <c r="B16" s="1050"/>
      <c r="C16" s="1051"/>
      <c r="D16" s="1051"/>
      <c r="E16" s="1051"/>
      <c r="F16" s="1051"/>
      <c r="G16" s="1051"/>
      <c r="H16" s="1051"/>
      <c r="I16" s="1051"/>
      <c r="J16" s="1051"/>
      <c r="K16" s="1051"/>
    </row>
    <row r="18" spans="2:7">
      <c r="D18" s="242"/>
    </row>
    <row r="20" spans="2:7" ht="21">
      <c r="B20" s="1054" t="s">
        <v>239</v>
      </c>
      <c r="C20" s="1054"/>
      <c r="D20" s="1054"/>
      <c r="E20" s="1054"/>
      <c r="F20" s="1054"/>
      <c r="G20" s="1054"/>
    </row>
    <row r="21" spans="2:7">
      <c r="B21" s="243"/>
      <c r="C21" s="243"/>
      <c r="D21" s="243"/>
      <c r="E21" s="243"/>
      <c r="F21" s="243"/>
    </row>
    <row r="22" spans="2:7" ht="18.75">
      <c r="B22" s="835"/>
      <c r="C22" s="834" t="s">
        <v>406</v>
      </c>
      <c r="D22" s="834" t="s">
        <v>400</v>
      </c>
      <c r="E22" s="834" t="s">
        <v>401</v>
      </c>
      <c r="F22" s="1052" t="s">
        <v>166</v>
      </c>
      <c r="G22" s="1053"/>
    </row>
    <row r="23" spans="2:7" ht="24" customHeight="1">
      <c r="B23" s="830"/>
      <c r="C23" s="826"/>
      <c r="D23" s="826"/>
      <c r="E23" s="827"/>
      <c r="F23" s="829" t="s">
        <v>225</v>
      </c>
      <c r="G23" s="828" t="s">
        <v>181</v>
      </c>
    </row>
    <row r="24" spans="2:7" ht="41.25" customHeight="1">
      <c r="B24" s="831" t="s">
        <v>240</v>
      </c>
      <c r="C24" s="832">
        <v>3788</v>
      </c>
      <c r="D24" s="832">
        <v>5522</v>
      </c>
      <c r="E24" s="832">
        <v>4224</v>
      </c>
      <c r="F24" s="833">
        <f>E24/C24-1</f>
        <v>0.11510031678986277</v>
      </c>
      <c r="G24" s="833">
        <f>E24/D24-1</f>
        <v>-0.23505976095617531</v>
      </c>
    </row>
    <row r="33" spans="9:9">
      <c r="I33" t="s">
        <v>350</v>
      </c>
    </row>
  </sheetData>
  <mergeCells count="4">
    <mergeCell ref="B5:K5"/>
    <mergeCell ref="B16:K16"/>
    <mergeCell ref="F22:G22"/>
    <mergeCell ref="B20:G20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D11" sqref="D11"/>
    </sheetView>
  </sheetViews>
  <sheetFormatPr baseColWidth="10" defaultRowHeight="15"/>
  <cols>
    <col min="1" max="1" width="52.28515625" customWidth="1"/>
    <col min="2" max="2" width="25.28515625" customWidth="1"/>
    <col min="5" max="6" width="16.140625" customWidth="1"/>
    <col min="7" max="7" width="13.7109375" customWidth="1"/>
    <col min="8" max="9" width="11.42578125" customWidth="1"/>
    <col min="10" max="10" width="17.7109375" customWidth="1"/>
    <col min="11" max="11" width="11.140625" customWidth="1"/>
    <col min="12" max="12" width="11.7109375" customWidth="1"/>
    <col min="13" max="13" width="10.85546875" customWidth="1"/>
  </cols>
  <sheetData>
    <row r="1" spans="1:13" ht="15.75" thickBot="1">
      <c r="H1" s="294" t="s">
        <v>263</v>
      </c>
      <c r="M1" s="294" t="s">
        <v>264</v>
      </c>
    </row>
    <row r="2" spans="1:13" ht="33" customHeight="1" thickBot="1">
      <c r="A2" s="287" t="s">
        <v>302</v>
      </c>
      <c r="B2" s="272" t="s">
        <v>383</v>
      </c>
      <c r="E2" s="289" t="s">
        <v>259</v>
      </c>
      <c r="F2" s="735" t="s">
        <v>260</v>
      </c>
      <c r="G2" s="290" t="s">
        <v>262</v>
      </c>
    </row>
    <row r="3" spans="1:13" ht="30" customHeight="1" thickBot="1">
      <c r="A3" s="288" t="s">
        <v>248</v>
      </c>
      <c r="B3" s="286">
        <v>96</v>
      </c>
      <c r="E3" s="291" t="s">
        <v>248</v>
      </c>
      <c r="F3" s="736">
        <v>1872</v>
      </c>
      <c r="G3" s="292">
        <v>1951</v>
      </c>
    </row>
    <row r="4" spans="1:13" ht="30" customHeight="1" thickBot="1">
      <c r="A4" s="288" t="s">
        <v>249</v>
      </c>
      <c r="B4" s="286">
        <v>464</v>
      </c>
      <c r="E4" s="291" t="s">
        <v>249</v>
      </c>
      <c r="F4" s="736">
        <v>3173</v>
      </c>
      <c r="G4" s="292">
        <v>3438</v>
      </c>
    </row>
    <row r="5" spans="1:13" ht="30" customHeight="1" thickBot="1">
      <c r="A5" s="288" t="s">
        <v>250</v>
      </c>
      <c r="B5" s="286">
        <v>69</v>
      </c>
      <c r="E5" s="291" t="s">
        <v>250</v>
      </c>
      <c r="F5" s="736">
        <v>384</v>
      </c>
      <c r="G5" s="292">
        <v>431</v>
      </c>
    </row>
    <row r="6" spans="1:13" ht="30" customHeight="1" thickBot="1">
      <c r="A6" s="288" t="s">
        <v>251</v>
      </c>
      <c r="B6" s="286">
        <v>313</v>
      </c>
      <c r="E6" s="291" t="s">
        <v>251</v>
      </c>
      <c r="F6" s="736">
        <v>2950</v>
      </c>
      <c r="G6" s="292">
        <v>3133</v>
      </c>
    </row>
    <row r="7" spans="1:13" ht="30" customHeight="1" thickBot="1">
      <c r="A7" s="288" t="s">
        <v>252</v>
      </c>
      <c r="B7" s="286">
        <v>2021</v>
      </c>
      <c r="E7" s="291" t="s">
        <v>252</v>
      </c>
      <c r="F7" s="736">
        <v>15893</v>
      </c>
      <c r="G7" s="292">
        <v>16675</v>
      </c>
    </row>
    <row r="8" spans="1:13" ht="41.25" customHeight="1" thickBot="1">
      <c r="A8" s="288" t="s">
        <v>258</v>
      </c>
      <c r="B8" s="285">
        <v>31495081</v>
      </c>
      <c r="E8" s="291" t="s">
        <v>261</v>
      </c>
      <c r="F8" s="737">
        <v>244080643</v>
      </c>
      <c r="G8" s="295">
        <v>260605829</v>
      </c>
    </row>
    <row r="9" spans="1:13" ht="41.25" customHeight="1">
      <c r="A9" s="738"/>
      <c r="B9" s="739"/>
    </row>
    <row r="10" spans="1:13" ht="16.5" thickBot="1">
      <c r="F10" s="293"/>
      <c r="G10" s="293"/>
    </row>
    <row r="11" spans="1:13" ht="20.25" customHeight="1" thickBot="1">
      <c r="A11" s="289" t="s">
        <v>259</v>
      </c>
      <c r="B11" s="290" t="s">
        <v>389</v>
      </c>
      <c r="E11" s="289" t="s">
        <v>259</v>
      </c>
      <c r="F11" s="290" t="s">
        <v>301</v>
      </c>
      <c r="G11" s="732" t="s">
        <v>265</v>
      </c>
      <c r="H11" s="733">
        <v>41426</v>
      </c>
      <c r="I11" s="734" t="s">
        <v>391</v>
      </c>
      <c r="J11" s="732" t="s">
        <v>392</v>
      </c>
      <c r="K11" t="s">
        <v>393</v>
      </c>
    </row>
    <row r="12" spans="1:13" ht="20.25" customHeight="1" thickBot="1">
      <c r="A12" s="291" t="s">
        <v>248</v>
      </c>
      <c r="B12" s="292">
        <v>1968</v>
      </c>
      <c r="E12" s="291" t="s">
        <v>248</v>
      </c>
      <c r="F12" s="292">
        <v>1960</v>
      </c>
      <c r="G12" s="729">
        <f t="shared" ref="G12:G17" si="0">F12-F3</f>
        <v>88</v>
      </c>
      <c r="H12" s="730">
        <v>9</v>
      </c>
      <c r="I12" s="730">
        <f>B12-F12</f>
        <v>8</v>
      </c>
      <c r="J12" s="729">
        <f>I12+G12</f>
        <v>96</v>
      </c>
      <c r="K12">
        <f t="shared" ref="K12:K17" si="1">B12-F3</f>
        <v>96</v>
      </c>
    </row>
    <row r="13" spans="1:13" ht="20.25" customHeight="1" thickBot="1">
      <c r="A13" s="291" t="s">
        <v>249</v>
      </c>
      <c r="B13" s="292">
        <v>3637</v>
      </c>
      <c r="E13" s="291" t="s">
        <v>249</v>
      </c>
      <c r="F13" s="292">
        <v>3505</v>
      </c>
      <c r="G13" s="729">
        <f t="shared" si="0"/>
        <v>332</v>
      </c>
      <c r="H13" s="730">
        <v>67</v>
      </c>
      <c r="I13" s="730">
        <f t="shared" ref="I13:I16" si="2">B13-F13</f>
        <v>132</v>
      </c>
      <c r="J13" s="729">
        <f t="shared" ref="J13:J17" si="3">I13+G13</f>
        <v>464</v>
      </c>
      <c r="K13">
        <f t="shared" si="1"/>
        <v>464</v>
      </c>
    </row>
    <row r="14" spans="1:13" ht="20.25" customHeight="1" thickBot="1">
      <c r="A14" s="291" t="s">
        <v>250</v>
      </c>
      <c r="B14" s="292">
        <v>453</v>
      </c>
      <c r="E14" s="291" t="s">
        <v>250</v>
      </c>
      <c r="F14" s="292">
        <v>431</v>
      </c>
      <c r="G14" s="729">
        <f t="shared" si="0"/>
        <v>47</v>
      </c>
      <c r="H14" s="730">
        <v>0</v>
      </c>
      <c r="I14" s="730">
        <f t="shared" si="2"/>
        <v>22</v>
      </c>
      <c r="J14" s="729">
        <f t="shared" si="3"/>
        <v>69</v>
      </c>
      <c r="K14">
        <f t="shared" si="1"/>
        <v>69</v>
      </c>
    </row>
    <row r="15" spans="1:13" ht="16.5" thickBot="1">
      <c r="A15" s="291" t="s">
        <v>251</v>
      </c>
      <c r="B15" s="292">
        <v>3263</v>
      </c>
      <c r="E15" s="291" t="s">
        <v>251</v>
      </c>
      <c r="F15" s="292">
        <v>3182</v>
      </c>
      <c r="G15" s="729">
        <f t="shared" si="0"/>
        <v>232</v>
      </c>
      <c r="H15" s="730">
        <v>49</v>
      </c>
      <c r="I15" s="730">
        <f t="shared" si="2"/>
        <v>81</v>
      </c>
      <c r="J15" s="729">
        <f t="shared" si="3"/>
        <v>313</v>
      </c>
      <c r="K15">
        <f t="shared" si="1"/>
        <v>313</v>
      </c>
    </row>
    <row r="16" spans="1:13" ht="16.5" thickBot="1">
      <c r="A16" s="291" t="s">
        <v>252</v>
      </c>
      <c r="B16" s="292">
        <v>17914</v>
      </c>
      <c r="E16" s="291" t="s">
        <v>252</v>
      </c>
      <c r="F16" s="292">
        <v>16975</v>
      </c>
      <c r="G16" s="729">
        <f t="shared" si="0"/>
        <v>1082</v>
      </c>
      <c r="H16" s="730">
        <v>300</v>
      </c>
      <c r="I16" s="730">
        <f t="shared" si="2"/>
        <v>939</v>
      </c>
      <c r="J16" s="729">
        <f t="shared" si="3"/>
        <v>2021</v>
      </c>
      <c r="K16">
        <f t="shared" si="1"/>
        <v>2021</v>
      </c>
    </row>
    <row r="17" spans="1:11" ht="32.25" thickBot="1">
      <c r="A17" s="291" t="s">
        <v>261</v>
      </c>
      <c r="B17" s="293">
        <v>275575724</v>
      </c>
      <c r="E17" s="291" t="s">
        <v>261</v>
      </c>
      <c r="F17" s="293">
        <v>270384416</v>
      </c>
      <c r="G17" s="731">
        <f t="shared" si="0"/>
        <v>26303773</v>
      </c>
      <c r="H17" s="730">
        <v>9778587</v>
      </c>
      <c r="I17" s="730">
        <f>B17-F17</f>
        <v>5191308</v>
      </c>
      <c r="J17" s="729">
        <f t="shared" si="3"/>
        <v>31495081</v>
      </c>
      <c r="K17">
        <f t="shared" si="1"/>
        <v>31495081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3:C15"/>
  <sheetViews>
    <sheetView topLeftCell="A5" workbookViewId="0">
      <selection activeCell="D6" sqref="D6"/>
    </sheetView>
  </sheetViews>
  <sheetFormatPr baseColWidth="10" defaultRowHeight="15"/>
  <cols>
    <col min="1" max="1" width="45.85546875" customWidth="1"/>
    <col min="2" max="3" width="31.42578125" customWidth="1"/>
    <col min="5" max="5" width="16.42578125" customWidth="1"/>
    <col min="6" max="6" width="17.7109375" customWidth="1"/>
  </cols>
  <sheetData>
    <row r="3" spans="1:3" ht="15.75" thickBot="1"/>
    <row r="4" spans="1:3" ht="30" customHeight="1" thickBot="1">
      <c r="A4" s="1055" t="s">
        <v>253</v>
      </c>
      <c r="B4" s="1056"/>
      <c r="C4" s="1057"/>
    </row>
    <row r="6" spans="1:3" ht="45" customHeight="1">
      <c r="A6" s="273"/>
      <c r="B6" s="274" t="s">
        <v>352</v>
      </c>
      <c r="C6" s="275" t="s">
        <v>390</v>
      </c>
    </row>
    <row r="7" spans="1:3" ht="21.75" customHeight="1">
      <c r="A7" s="276"/>
      <c r="B7" s="277"/>
      <c r="C7" s="278"/>
    </row>
    <row r="8" spans="1:3" ht="35.25" customHeight="1">
      <c r="A8" s="279" t="s">
        <v>254</v>
      </c>
      <c r="B8" s="280">
        <v>19</v>
      </c>
      <c r="C8" s="280">
        <v>539</v>
      </c>
    </row>
    <row r="9" spans="1:3" ht="35.25" customHeight="1">
      <c r="A9" s="281" t="s">
        <v>303</v>
      </c>
      <c r="B9" s="282">
        <v>5.718</v>
      </c>
      <c r="C9" s="282">
        <v>415.65300000000002</v>
      </c>
    </row>
    <row r="10" spans="1:3" ht="35.25" customHeight="1">
      <c r="A10" s="279" t="s">
        <v>255</v>
      </c>
      <c r="B10" s="280">
        <v>185</v>
      </c>
      <c r="C10" s="280">
        <v>8954</v>
      </c>
    </row>
    <row r="11" spans="1:3" ht="35.25" customHeight="1">
      <c r="A11" s="281" t="s">
        <v>256</v>
      </c>
      <c r="B11" s="151">
        <v>0</v>
      </c>
      <c r="C11" s="151">
        <v>195</v>
      </c>
    </row>
    <row r="12" spans="1:3" ht="35.25" customHeight="1">
      <c r="A12" s="279" t="s">
        <v>257</v>
      </c>
      <c r="B12" s="280">
        <v>7</v>
      </c>
      <c r="C12" s="280">
        <v>298</v>
      </c>
    </row>
    <row r="15" spans="1:3" ht="30" customHeight="1"/>
  </sheetData>
  <mergeCells count="1">
    <mergeCell ref="A4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4:G33"/>
  <sheetViews>
    <sheetView topLeftCell="B1" workbookViewId="0">
      <selection activeCell="J24" sqref="J24"/>
    </sheetView>
  </sheetViews>
  <sheetFormatPr baseColWidth="10" defaultRowHeight="15"/>
  <cols>
    <col min="2" max="2" width="40.140625" customWidth="1"/>
    <col min="3" max="3" width="20.140625" customWidth="1"/>
    <col min="4" max="5" width="18.5703125" customWidth="1"/>
  </cols>
  <sheetData>
    <row r="4" spans="1:7">
      <c r="B4" s="244"/>
      <c r="C4" s="244"/>
      <c r="D4" s="244"/>
      <c r="E4" s="244"/>
      <c r="F4" s="244"/>
    </row>
    <row r="5" spans="1:7" ht="23.25">
      <c r="A5" s="245"/>
      <c r="B5" s="1058" t="s">
        <v>241</v>
      </c>
      <c r="C5" s="1059"/>
      <c r="D5" s="1059"/>
      <c r="E5" s="1059"/>
      <c r="F5" s="1059"/>
      <c r="G5" s="1060"/>
    </row>
    <row r="6" spans="1:7" ht="8.25" customHeight="1">
      <c r="B6" s="254"/>
      <c r="C6" s="255"/>
      <c r="D6" s="255"/>
      <c r="E6" s="255"/>
      <c r="F6" s="255"/>
      <c r="G6" s="256"/>
    </row>
    <row r="7" spans="1:7" ht="19.5">
      <c r="A7" s="246"/>
      <c r="B7" s="1061" t="s">
        <v>242</v>
      </c>
      <c r="C7" s="1062"/>
      <c r="D7" s="1062"/>
      <c r="E7" s="1062"/>
      <c r="F7" s="1062"/>
      <c r="G7" s="1063"/>
    </row>
    <row r="8" spans="1:7" ht="5.25" customHeight="1">
      <c r="B8" s="257"/>
      <c r="C8" s="258"/>
      <c r="D8" s="258"/>
      <c r="E8" s="258"/>
      <c r="F8" s="258"/>
      <c r="G8" s="259"/>
    </row>
    <row r="9" spans="1:7" ht="18.75">
      <c r="B9" s="247"/>
      <c r="C9" s="159" t="s">
        <v>407</v>
      </c>
      <c r="D9" s="159" t="s">
        <v>402</v>
      </c>
      <c r="E9" s="159" t="s">
        <v>403</v>
      </c>
      <c r="F9" s="839" t="s">
        <v>225</v>
      </c>
      <c r="G9" s="837" t="s">
        <v>181</v>
      </c>
    </row>
    <row r="10" spans="1:7" ht="18.75">
      <c r="B10" s="248" t="s">
        <v>47</v>
      </c>
      <c r="C10" s="389">
        <v>187</v>
      </c>
      <c r="D10" s="388">
        <v>165</v>
      </c>
      <c r="E10" s="389">
        <v>174</v>
      </c>
      <c r="F10" s="840">
        <f>E10/C10-1</f>
        <v>-6.9518716577540052E-2</v>
      </c>
      <c r="G10" s="390">
        <f>E10/D10-1</f>
        <v>5.4545454545454453E-2</v>
      </c>
    </row>
    <row r="11" spans="1:7" ht="18.75">
      <c r="B11" s="249" t="s">
        <v>243</v>
      </c>
      <c r="C11" s="836">
        <v>271.7</v>
      </c>
      <c r="D11" s="391">
        <v>219.3</v>
      </c>
      <c r="E11" s="392">
        <v>474.2</v>
      </c>
      <c r="F11" s="841">
        <f>E11/C11-1</f>
        <v>0.74530732425469282</v>
      </c>
      <c r="G11" s="393">
        <f>E11/D11-1</f>
        <v>1.1623347013223895</v>
      </c>
    </row>
    <row r="12" spans="1:7" ht="18.75">
      <c r="B12" s="248" t="s">
        <v>48</v>
      </c>
      <c r="C12" s="389">
        <v>6993</v>
      </c>
      <c r="D12" s="388">
        <v>4995</v>
      </c>
      <c r="E12" s="388">
        <v>5541</v>
      </c>
      <c r="F12" s="840">
        <f>E12/C12-1</f>
        <v>-0.2076362076362076</v>
      </c>
      <c r="G12" s="390">
        <f>E12/D12-1</f>
        <v>0.10930930930930938</v>
      </c>
    </row>
    <row r="13" spans="1:7" ht="18.75">
      <c r="B13" s="249" t="s">
        <v>244</v>
      </c>
      <c r="C13" s="836">
        <v>32.700000000000003</v>
      </c>
      <c r="D13" s="391">
        <v>35.799999999999997</v>
      </c>
      <c r="E13" s="392">
        <v>37.6</v>
      </c>
      <c r="F13" s="841">
        <f>E13/C13-1</f>
        <v>0.14984709480122316</v>
      </c>
      <c r="G13" s="393">
        <f>E13/D13-1</f>
        <v>5.0279329608938772E-2</v>
      </c>
    </row>
    <row r="14" spans="1:7" ht="10.5" customHeight="1">
      <c r="B14" s="785"/>
      <c r="C14" s="785"/>
      <c r="D14" s="785"/>
      <c r="E14" s="785"/>
      <c r="F14" s="785"/>
      <c r="G14" s="842"/>
    </row>
    <row r="18" spans="1:7" ht="23.25">
      <c r="A18" s="250"/>
    </row>
    <row r="19" spans="1:7" ht="6.75" customHeight="1"/>
    <row r="20" spans="1:7" ht="18.75">
      <c r="A20" s="246"/>
    </row>
    <row r="21" spans="1:7" ht="7.5" customHeight="1"/>
    <row r="24" spans="1:7" ht="23.25">
      <c r="B24" s="1067" t="s">
        <v>245</v>
      </c>
      <c r="C24" s="1059"/>
      <c r="D24" s="1059"/>
      <c r="E24" s="1059"/>
      <c r="F24" s="1059"/>
      <c r="G24" s="1068"/>
    </row>
    <row r="25" spans="1:7">
      <c r="B25" s="260"/>
      <c r="C25" s="255"/>
      <c r="D25" s="255"/>
      <c r="E25" s="255"/>
      <c r="F25" s="255"/>
      <c r="G25" s="261"/>
    </row>
    <row r="26" spans="1:7" ht="19.5" customHeight="1">
      <c r="B26" s="1064" t="s">
        <v>246</v>
      </c>
      <c r="C26" s="1065"/>
      <c r="D26" s="1065"/>
      <c r="E26" s="1065"/>
      <c r="F26" s="1065"/>
      <c r="G26" s="1066"/>
    </row>
    <row r="27" spans="1:7" ht="11.25" customHeight="1">
      <c r="B27" s="262"/>
      <c r="C27" s="258"/>
      <c r="D27" s="258"/>
      <c r="E27" s="258"/>
      <c r="F27" s="258"/>
      <c r="G27" s="263"/>
    </row>
    <row r="28" spans="1:7" ht="18.75">
      <c r="B28" s="251"/>
      <c r="C28" s="159" t="s">
        <v>407</v>
      </c>
      <c r="D28" s="159" t="s">
        <v>402</v>
      </c>
      <c r="E28" s="159" t="s">
        <v>403</v>
      </c>
      <c r="F28" s="839" t="s">
        <v>225</v>
      </c>
      <c r="G28" s="837" t="s">
        <v>181</v>
      </c>
    </row>
    <row r="29" spans="1:7" ht="18.75">
      <c r="B29" s="252" t="s">
        <v>47</v>
      </c>
      <c r="C29" s="389">
        <v>94</v>
      </c>
      <c r="D29" s="388">
        <v>105</v>
      </c>
      <c r="E29" s="389">
        <v>77</v>
      </c>
      <c r="F29" s="840">
        <f>E29/C29-1</f>
        <v>-0.18085106382978722</v>
      </c>
      <c r="G29" s="390">
        <f>E29/D29-1</f>
        <v>-0.26666666666666672</v>
      </c>
    </row>
    <row r="30" spans="1:7" ht="18.75">
      <c r="B30" s="253" t="s">
        <v>243</v>
      </c>
      <c r="C30" s="836">
        <v>79.3</v>
      </c>
      <c r="D30" s="391">
        <v>133</v>
      </c>
      <c r="E30" s="392">
        <v>96.6</v>
      </c>
      <c r="F30" s="841">
        <f>E30/C30-1</f>
        <v>0.21815889029003777</v>
      </c>
      <c r="G30" s="393">
        <f>E30/D30-1</f>
        <v>-0.27368421052631586</v>
      </c>
    </row>
    <row r="31" spans="1:7" ht="18.75">
      <c r="B31" s="252" t="s">
        <v>48</v>
      </c>
      <c r="C31" s="389">
        <v>2319</v>
      </c>
      <c r="D31" s="388">
        <v>3416</v>
      </c>
      <c r="E31" s="843">
        <v>2223</v>
      </c>
      <c r="F31" s="840">
        <f>E31/C31-1</f>
        <v>-4.1397153945666232E-2</v>
      </c>
      <c r="G31" s="390">
        <f>E31/D31-1</f>
        <v>-0.34923887587822011</v>
      </c>
    </row>
    <row r="32" spans="1:7" ht="18.75">
      <c r="B32" s="253" t="s">
        <v>247</v>
      </c>
      <c r="C32" s="836">
        <v>14.7</v>
      </c>
      <c r="D32" s="391">
        <v>24.24</v>
      </c>
      <c r="E32" s="392">
        <v>17.2</v>
      </c>
      <c r="F32" s="841">
        <f>E32/C32-1</f>
        <v>0.17006802721088432</v>
      </c>
      <c r="G32" s="393">
        <f>E32/D32-1</f>
        <v>-0.29042904290429039</v>
      </c>
    </row>
    <row r="33" spans="2:7">
      <c r="B33" s="784"/>
      <c r="C33" s="784"/>
      <c r="D33" s="784"/>
      <c r="E33" s="784"/>
      <c r="F33" s="784"/>
      <c r="G33" s="838"/>
    </row>
  </sheetData>
  <mergeCells count="4">
    <mergeCell ref="B5:G5"/>
    <mergeCell ref="B7:G7"/>
    <mergeCell ref="B26:G26"/>
    <mergeCell ref="B24:G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topLeftCell="AQ24" workbookViewId="0">
      <selection activeCell="BB52" sqref="BB52"/>
    </sheetView>
  </sheetViews>
  <sheetFormatPr baseColWidth="10"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3:AL161"/>
  <sheetViews>
    <sheetView topLeftCell="D98" workbookViewId="0">
      <selection activeCell="I1" sqref="I1:AF1048576"/>
    </sheetView>
  </sheetViews>
  <sheetFormatPr baseColWidth="10" defaultRowHeight="15"/>
  <cols>
    <col min="1" max="1" width="3.7109375" customWidth="1"/>
    <col min="2" max="2" width="3.28515625" customWidth="1"/>
    <col min="3" max="3" width="30.28515625" customWidth="1"/>
    <col min="4" max="4" width="15.42578125" customWidth="1"/>
    <col min="5" max="6" width="15.28515625" customWidth="1"/>
    <col min="7" max="8" width="13.7109375" customWidth="1"/>
    <col min="10" max="10" width="11.7109375" customWidth="1"/>
    <col min="11" max="11" width="18.28515625" customWidth="1"/>
    <col min="12" max="12" width="14.85546875" customWidth="1"/>
    <col min="13" max="13" width="18" customWidth="1"/>
    <col min="14" max="14" width="30.28515625" customWidth="1"/>
    <col min="17" max="17" width="17.28515625" customWidth="1"/>
    <col min="18" max="20" width="16.42578125" customWidth="1"/>
    <col min="27" max="27" width="20" customWidth="1"/>
    <col min="28" max="30" width="18.28515625" customWidth="1"/>
    <col min="31" max="31" width="14.42578125" customWidth="1"/>
  </cols>
  <sheetData>
    <row r="3" spans="2:35" ht="26.25">
      <c r="B3" s="951" t="s">
        <v>297</v>
      </c>
      <c r="C3" s="951"/>
      <c r="D3" s="951"/>
      <c r="E3" s="951"/>
      <c r="F3" s="951"/>
      <c r="G3" s="951"/>
      <c r="H3" s="951"/>
      <c r="J3" s="16"/>
      <c r="K3" s="943" t="s">
        <v>338</v>
      </c>
      <c r="L3" s="943"/>
      <c r="M3" s="943"/>
      <c r="N3" s="943"/>
      <c r="Q3" s="951" t="s">
        <v>397</v>
      </c>
      <c r="R3" s="951"/>
      <c r="S3" s="951"/>
      <c r="T3" s="951"/>
      <c r="U3" s="951"/>
      <c r="V3" s="951"/>
      <c r="W3" s="951"/>
    </row>
    <row r="4" spans="2:35">
      <c r="B4" s="1"/>
      <c r="C4" s="1"/>
      <c r="D4" s="1"/>
      <c r="E4" s="1"/>
      <c r="F4" s="1"/>
      <c r="G4" s="1"/>
      <c r="H4" s="1"/>
      <c r="J4" s="1"/>
      <c r="K4" s="1"/>
      <c r="L4" s="1"/>
      <c r="M4" s="1"/>
      <c r="N4" s="1"/>
      <c r="Q4" s="1"/>
      <c r="R4" s="1"/>
      <c r="S4" s="1"/>
      <c r="T4" s="1"/>
      <c r="U4" s="1"/>
      <c r="V4" s="1"/>
    </row>
    <row r="5" spans="2:35" ht="18.75">
      <c r="B5" s="946"/>
      <c r="C5" s="946"/>
      <c r="D5" s="18" t="s">
        <v>363</v>
      </c>
      <c r="E5" s="18" t="s">
        <v>351</v>
      </c>
      <c r="F5" s="18" t="s">
        <v>352</v>
      </c>
      <c r="G5" s="406" t="s">
        <v>181</v>
      </c>
      <c r="H5" s="857" t="s">
        <v>225</v>
      </c>
      <c r="J5" s="18" t="s">
        <v>97</v>
      </c>
      <c r="K5" s="7" t="s">
        <v>354</v>
      </c>
      <c r="L5" s="7" t="s">
        <v>353</v>
      </c>
      <c r="M5" s="6"/>
      <c r="N5" s="6"/>
      <c r="Q5" s="946"/>
      <c r="R5" s="946"/>
      <c r="S5" s="18" t="s">
        <v>363</v>
      </c>
      <c r="T5" s="18" t="s">
        <v>351</v>
      </c>
      <c r="U5" s="18" t="s">
        <v>352</v>
      </c>
      <c r="V5" s="857" t="s">
        <v>181</v>
      </c>
      <c r="W5" s="857" t="s">
        <v>225</v>
      </c>
    </row>
    <row r="6" spans="2:35" ht="23.25">
      <c r="B6" s="944" t="s">
        <v>1</v>
      </c>
      <c r="C6" s="944"/>
      <c r="D6" s="546">
        <f>SUM(D7:D8)</f>
        <v>485.95888879999995</v>
      </c>
      <c r="E6" s="546">
        <f>SUM(E7:E8)</f>
        <v>606.2304059999999</v>
      </c>
      <c r="F6" s="546">
        <f>SUM(F7:F8)</f>
        <v>383.95824474599999</v>
      </c>
      <c r="G6" s="9">
        <f t="shared" ref="G6:G11" si="0">F6/E6-1</f>
        <v>-0.36664634279990227</v>
      </c>
      <c r="H6" s="9">
        <f t="shared" ref="H6:H14" si="1">F6/D6-1</f>
        <v>-0.20989562369334314</v>
      </c>
      <c r="J6" s="9">
        <f t="shared" ref="J6:J14" si="2">G6</f>
        <v>-0.36664634279990227</v>
      </c>
      <c r="K6" s="156">
        <f>K7+K8</f>
        <v>383.95824474599999</v>
      </c>
      <c r="L6" s="156">
        <f>L7+L8</f>
        <v>606.2304059999999</v>
      </c>
      <c r="M6" s="945" t="s">
        <v>5</v>
      </c>
      <c r="N6" s="945"/>
      <c r="Q6" s="944" t="s">
        <v>1</v>
      </c>
      <c r="R6" s="944"/>
      <c r="S6" s="546">
        <f>SUM(S7:S8)</f>
        <v>339.262</v>
      </c>
      <c r="T6" s="546">
        <f>SUM(T7:T8)</f>
        <v>389.358</v>
      </c>
      <c r="U6" s="546">
        <f>SUM(U7:U8)</f>
        <v>238.557468</v>
      </c>
      <c r="V6" s="9">
        <f t="shared" ref="V6:V11" si="3">U6/T6-1</f>
        <v>-0.38730559536467724</v>
      </c>
      <c r="W6" s="9">
        <f>U6/S6-1</f>
        <v>-0.29683410461531201</v>
      </c>
    </row>
    <row r="7" spans="2:35" ht="18.75">
      <c r="B7" s="2" t="s">
        <v>0</v>
      </c>
      <c r="C7" s="3" t="s">
        <v>3</v>
      </c>
      <c r="D7" s="12">
        <f>O112</f>
        <v>51.910176</v>
      </c>
      <c r="E7" s="12">
        <f>N112</f>
        <v>14.251221000000001</v>
      </c>
      <c r="F7" s="12">
        <f>M112</f>
        <v>1.538730285</v>
      </c>
      <c r="G7" s="11">
        <f t="shared" si="0"/>
        <v>-0.89202817884867547</v>
      </c>
      <c r="H7" s="11">
        <f t="shared" si="1"/>
        <v>-0.97035782955157002</v>
      </c>
      <c r="J7" s="11">
        <f t="shared" si="2"/>
        <v>-0.89202817884867547</v>
      </c>
      <c r="K7" s="101">
        <f>F7</f>
        <v>1.538730285</v>
      </c>
      <c r="L7" s="101">
        <f>E7</f>
        <v>14.251221000000001</v>
      </c>
      <c r="M7" s="4" t="s">
        <v>6</v>
      </c>
      <c r="N7" s="4" t="s">
        <v>0</v>
      </c>
      <c r="Q7" s="2" t="s">
        <v>0</v>
      </c>
      <c r="R7" s="3" t="s">
        <v>3</v>
      </c>
      <c r="S7" s="12">
        <f>AF112</f>
        <v>36.24</v>
      </c>
      <c r="T7" s="12">
        <f>AE112</f>
        <v>9.1530000000000005</v>
      </c>
      <c r="U7" s="12">
        <f>AD112</f>
        <v>0.95603000000000005</v>
      </c>
      <c r="V7" s="11">
        <f t="shared" si="3"/>
        <v>-0.89555009286572707</v>
      </c>
      <c r="W7" s="11">
        <f t="shared" ref="W7:W14" si="4">U7/S7-1</f>
        <v>-0.97361948123620312</v>
      </c>
    </row>
    <row r="8" spans="2:35" ht="19.5" customHeight="1">
      <c r="B8" s="2" t="s">
        <v>0</v>
      </c>
      <c r="C8" s="3" t="s">
        <v>4</v>
      </c>
      <c r="D8" s="12">
        <f>O113</f>
        <v>434.04871279999998</v>
      </c>
      <c r="E8" s="12">
        <f>N113</f>
        <v>591.97918499999992</v>
      </c>
      <c r="F8" s="12">
        <f>M113</f>
        <v>382.41951446100001</v>
      </c>
      <c r="G8" s="11">
        <f t="shared" si="0"/>
        <v>-0.35399837671488388</v>
      </c>
      <c r="H8" s="11">
        <f t="shared" si="1"/>
        <v>-0.11894793560369243</v>
      </c>
      <c r="J8" s="11">
        <f t="shared" si="2"/>
        <v>-0.35399837671488388</v>
      </c>
      <c r="K8" s="101">
        <f>F8</f>
        <v>382.41951446100001</v>
      </c>
      <c r="L8" s="101">
        <f>E8</f>
        <v>591.97918499999992</v>
      </c>
      <c r="M8" s="4" t="s">
        <v>7</v>
      </c>
      <c r="N8" s="4" t="s">
        <v>0</v>
      </c>
      <c r="Q8" s="2" t="s">
        <v>0</v>
      </c>
      <c r="R8" s="3" t="s">
        <v>4</v>
      </c>
      <c r="S8" s="12">
        <f>AF113</f>
        <v>303.02199999999999</v>
      </c>
      <c r="T8" s="12">
        <f>AE113</f>
        <v>380.20499999999998</v>
      </c>
      <c r="U8" s="12">
        <f>AD113</f>
        <v>237.601438</v>
      </c>
      <c r="V8" s="11">
        <f t="shared" si="3"/>
        <v>-0.37507019108112727</v>
      </c>
      <c r="W8" s="11">
        <f t="shared" si="4"/>
        <v>-0.21589377008930044</v>
      </c>
    </row>
    <row r="9" spans="2:35" ht="23.25">
      <c r="B9" s="944" t="s">
        <v>2</v>
      </c>
      <c r="C9" s="944"/>
      <c r="D9" s="546">
        <f>SUM(D10:D11)</f>
        <v>1317.3109571999998</v>
      </c>
      <c r="E9" s="546">
        <f>SUM(E10:E11)</f>
        <v>1173.0422429999999</v>
      </c>
      <c r="F9" s="546">
        <f>SUM(F10:F11)</f>
        <v>1140.8876289524999</v>
      </c>
      <c r="G9" s="9">
        <f t="shared" si="0"/>
        <v>-2.7411301033171687E-2</v>
      </c>
      <c r="H9" s="9">
        <f t="shared" si="1"/>
        <v>-0.13392686615352778</v>
      </c>
      <c r="J9" s="9">
        <f t="shared" si="2"/>
        <v>-2.7411301033171687E-2</v>
      </c>
      <c r="K9" s="156">
        <f>K10+K11</f>
        <v>1140.8876289524999</v>
      </c>
      <c r="L9" s="156">
        <f>L10+L11</f>
        <v>1173.0422429999999</v>
      </c>
      <c r="M9" s="945" t="s">
        <v>8</v>
      </c>
      <c r="N9" s="945"/>
      <c r="Q9" s="944" t="s">
        <v>2</v>
      </c>
      <c r="R9" s="944"/>
      <c r="S9" s="546">
        <f>SUM(S10:S11)</f>
        <v>919.65300000000002</v>
      </c>
      <c r="T9" s="546">
        <f>SUM(T10:T11)</f>
        <v>753.399</v>
      </c>
      <c r="U9" s="546">
        <f>SUM(U10:U11)</f>
        <v>708.84599500000002</v>
      </c>
      <c r="V9" s="9">
        <f t="shared" si="3"/>
        <v>-5.9136002304223889E-2</v>
      </c>
      <c r="W9" s="9">
        <f t="shared" si="4"/>
        <v>-0.22922450641709424</v>
      </c>
    </row>
    <row r="10" spans="2:35" ht="18.75">
      <c r="B10" s="2" t="s">
        <v>0</v>
      </c>
      <c r="C10" s="3" t="s">
        <v>3</v>
      </c>
      <c r="D10" s="12">
        <f>O115</f>
        <v>1173.4091883999999</v>
      </c>
      <c r="E10" s="12">
        <f>N115</f>
        <v>987.26100299999985</v>
      </c>
      <c r="F10" s="12">
        <f>M115</f>
        <v>967.18933151099998</v>
      </c>
      <c r="G10" s="11">
        <f t="shared" si="0"/>
        <v>-2.0330663753564515E-2</v>
      </c>
      <c r="H10" s="11">
        <f t="shared" si="1"/>
        <v>-0.1757441981259672</v>
      </c>
      <c r="J10" s="11">
        <f t="shared" si="2"/>
        <v>-2.0330663753564515E-2</v>
      </c>
      <c r="K10" s="101">
        <f>F10</f>
        <v>967.18933151099998</v>
      </c>
      <c r="L10" s="101">
        <f>E10</f>
        <v>987.26100299999985</v>
      </c>
      <c r="M10" s="4" t="s">
        <v>6</v>
      </c>
      <c r="N10" s="4" t="s">
        <v>0</v>
      </c>
      <c r="Q10" s="2" t="s">
        <v>0</v>
      </c>
      <c r="R10" s="3" t="s">
        <v>3</v>
      </c>
      <c r="S10" s="12">
        <f>AF115</f>
        <v>819.19100000000003</v>
      </c>
      <c r="T10" s="12">
        <f>AE115</f>
        <v>634.07899999999995</v>
      </c>
      <c r="U10" s="12">
        <f>AD115</f>
        <v>600.92533800000001</v>
      </c>
      <c r="V10" s="11">
        <f t="shared" si="3"/>
        <v>-5.2286327098042928E-2</v>
      </c>
      <c r="W10" s="11">
        <f t="shared" si="4"/>
        <v>-0.26644050288638421</v>
      </c>
    </row>
    <row r="11" spans="2:35" ht="18.75">
      <c r="B11" s="2" t="s">
        <v>0</v>
      </c>
      <c r="C11" s="3" t="s">
        <v>4</v>
      </c>
      <c r="D11" s="12">
        <f>O116</f>
        <v>143.90176879999999</v>
      </c>
      <c r="E11" s="12">
        <f>N116</f>
        <v>185.78124000000008</v>
      </c>
      <c r="F11" s="12">
        <f>M116</f>
        <v>173.69829744149999</v>
      </c>
      <c r="G11" s="11">
        <f t="shared" si="0"/>
        <v>-6.5038550493580982E-2</v>
      </c>
      <c r="H11" s="11">
        <f t="shared" si="1"/>
        <v>0.20706158715055345</v>
      </c>
      <c r="J11" s="11">
        <f t="shared" si="2"/>
        <v>-6.5038550493580982E-2</v>
      </c>
      <c r="K11" s="101">
        <f>F11</f>
        <v>173.69829744149999</v>
      </c>
      <c r="L11" s="101">
        <f>E11</f>
        <v>185.78124000000008</v>
      </c>
      <c r="M11" s="4" t="s">
        <v>7</v>
      </c>
      <c r="N11" s="4" t="s">
        <v>0</v>
      </c>
      <c r="Q11" s="2" t="s">
        <v>0</v>
      </c>
      <c r="R11" s="3" t="s">
        <v>4</v>
      </c>
      <c r="S11" s="12">
        <f>AF116</f>
        <v>100.46199999999999</v>
      </c>
      <c r="T11" s="12">
        <f>AE116</f>
        <v>119.32000000000005</v>
      </c>
      <c r="U11" s="12">
        <f>AD116</f>
        <v>107.92065700000001</v>
      </c>
      <c r="V11" s="11">
        <f t="shared" si="3"/>
        <v>-9.5535895072075383E-2</v>
      </c>
      <c r="W11" s="11">
        <f t="shared" si="4"/>
        <v>7.4243564730943179E-2</v>
      </c>
    </row>
    <row r="12" spans="2:35" ht="21">
      <c r="B12" s="956" t="s">
        <v>298</v>
      </c>
      <c r="C12" s="956"/>
      <c r="D12" s="547">
        <f>O117</f>
        <v>1369.2211331999999</v>
      </c>
      <c r="E12" s="547">
        <f>N117</f>
        <v>1187.2934640000001</v>
      </c>
      <c r="F12" s="547">
        <f>M117</f>
        <v>1142.4263592375</v>
      </c>
      <c r="G12" s="15">
        <f>F12/E12-1</f>
        <v>-3.7789397586121987E-2</v>
      </c>
      <c r="H12" s="15">
        <f t="shared" si="1"/>
        <v>-0.16563779835362236</v>
      </c>
      <c r="J12" s="15">
        <f t="shared" si="2"/>
        <v>-3.7789397586121987E-2</v>
      </c>
      <c r="K12" s="548">
        <f>F12</f>
        <v>1142.4263592375</v>
      </c>
      <c r="L12" s="548">
        <f>E12</f>
        <v>1187.2934640000001</v>
      </c>
      <c r="M12" s="957" t="s">
        <v>339</v>
      </c>
      <c r="N12" s="957"/>
      <c r="Q12" s="956" t="s">
        <v>298</v>
      </c>
      <c r="R12" s="956"/>
      <c r="S12" s="547">
        <f>AF117</f>
        <v>955.89300000000003</v>
      </c>
      <c r="T12" s="547">
        <f>AE117</f>
        <v>762.55200000000002</v>
      </c>
      <c r="U12" s="547">
        <f>AD117</f>
        <v>709.80202500000007</v>
      </c>
      <c r="V12" s="15">
        <f>U12/T12-1</f>
        <v>-6.9175577534384525E-2</v>
      </c>
      <c r="W12" s="15">
        <f t="shared" si="4"/>
        <v>-0.25744615244593272</v>
      </c>
    </row>
    <row r="13" spans="2:35" ht="21">
      <c r="B13" s="368" t="s">
        <v>299</v>
      </c>
      <c r="C13" s="368"/>
      <c r="D13" s="546">
        <f>O118</f>
        <v>1225.3193644</v>
      </c>
      <c r="E13" s="546">
        <f>N118</f>
        <v>1001.5122239999999</v>
      </c>
      <c r="F13" s="546">
        <f>M118</f>
        <v>968.72806179600002</v>
      </c>
      <c r="G13" s="9">
        <f>F13/E13-1</f>
        <v>-3.2734660065417143E-2</v>
      </c>
      <c r="H13" s="9">
        <f t="shared" si="1"/>
        <v>-0.20940769407463389</v>
      </c>
      <c r="J13" s="9">
        <f t="shared" si="2"/>
        <v>-3.2734660065417143E-2</v>
      </c>
      <c r="K13" s="156">
        <f>F13</f>
        <v>968.72806179600002</v>
      </c>
      <c r="L13" s="156">
        <f>E13</f>
        <v>1001.5122239999999</v>
      </c>
      <c r="M13" s="979" t="s">
        <v>340</v>
      </c>
      <c r="N13" s="979"/>
      <c r="Q13" s="368" t="s">
        <v>299</v>
      </c>
      <c r="R13" s="368"/>
      <c r="S13" s="546">
        <f>AF118</f>
        <v>855.43100000000004</v>
      </c>
      <c r="T13" s="546">
        <f>AE118</f>
        <v>643.23199999999997</v>
      </c>
      <c r="U13" s="546">
        <f>AD118</f>
        <v>601.88136800000007</v>
      </c>
      <c r="V13" s="9">
        <f>U13/T13-1</f>
        <v>-6.4285719615939318E-2</v>
      </c>
      <c r="W13" s="9">
        <f t="shared" si="4"/>
        <v>-0.29639986392824202</v>
      </c>
    </row>
    <row r="14" spans="2:35" ht="21">
      <c r="B14" s="955" t="s">
        <v>280</v>
      </c>
      <c r="C14" s="955"/>
      <c r="D14" s="708">
        <v>1.4323999999999999</v>
      </c>
      <c r="E14" s="321">
        <f>N119</f>
        <v>1.5569999999999999</v>
      </c>
      <c r="F14" s="321">
        <f>M119</f>
        <v>1.6094999999999999</v>
      </c>
      <c r="G14" s="322">
        <f xml:space="preserve"> F14/E14-1</f>
        <v>3.3718689788053924E-2</v>
      </c>
      <c r="H14" s="322">
        <f t="shared" si="1"/>
        <v>0.12363864842222849</v>
      </c>
      <c r="J14" s="322">
        <f t="shared" si="2"/>
        <v>3.3718689788053924E-2</v>
      </c>
      <c r="K14" s="545">
        <f>F14</f>
        <v>1.6094999999999999</v>
      </c>
      <c r="L14" s="545">
        <f>E14</f>
        <v>1.5569999999999999</v>
      </c>
      <c r="M14" s="955" t="s">
        <v>281</v>
      </c>
      <c r="N14" s="955"/>
      <c r="Q14" s="955" t="s">
        <v>280</v>
      </c>
      <c r="R14" s="955"/>
      <c r="S14" s="783">
        <f>AF119</f>
        <v>1.4323999999999999</v>
      </c>
      <c r="T14" s="321">
        <f>AE119</f>
        <v>1.5569999999999999</v>
      </c>
      <c r="U14" s="321">
        <f>AD119</f>
        <v>1.6094999999999999</v>
      </c>
      <c r="V14" s="322">
        <f xml:space="preserve"> U14/T14-1</f>
        <v>3.3718689788053924E-2</v>
      </c>
      <c r="W14" s="322">
        <f t="shared" si="4"/>
        <v>0.12363864842222849</v>
      </c>
    </row>
    <row r="15" spans="2:35">
      <c r="AI15" s="94"/>
    </row>
    <row r="19" spans="2:34">
      <c r="E19" s="161"/>
    </row>
    <row r="24" spans="2:34">
      <c r="AH24" s="118"/>
    </row>
    <row r="26" spans="2:34">
      <c r="AB26" t="s">
        <v>398</v>
      </c>
    </row>
    <row r="29" spans="2:34" ht="23.25">
      <c r="B29" s="951" t="s">
        <v>164</v>
      </c>
      <c r="C29" s="951"/>
      <c r="D29" s="951"/>
      <c r="E29" s="951"/>
      <c r="F29" s="951"/>
      <c r="G29" s="951"/>
      <c r="H29" s="858"/>
      <c r="J29" s="16"/>
      <c r="K29" s="951" t="s">
        <v>9</v>
      </c>
      <c r="L29" s="951"/>
      <c r="M29" s="951"/>
      <c r="N29" s="951"/>
    </row>
    <row r="30" spans="2:34">
      <c r="B30" s="1"/>
      <c r="C30" s="1"/>
      <c r="D30" s="1"/>
      <c r="E30" s="1"/>
      <c r="F30" s="1"/>
      <c r="G30" s="1"/>
      <c r="H30" s="1"/>
      <c r="K30" s="1"/>
      <c r="L30" s="1"/>
      <c r="M30" s="1"/>
      <c r="N30" s="1"/>
    </row>
    <row r="31" spans="2:34" ht="18.75">
      <c r="B31" s="1"/>
      <c r="C31" s="1"/>
      <c r="D31" s="18" t="s">
        <v>363</v>
      </c>
      <c r="E31" s="18" t="s">
        <v>351</v>
      </c>
      <c r="F31" s="18" t="s">
        <v>352</v>
      </c>
      <c r="G31" s="406" t="s">
        <v>181</v>
      </c>
      <c r="H31" s="857" t="s">
        <v>225</v>
      </c>
      <c r="J31" s="18" t="s">
        <v>97</v>
      </c>
      <c r="K31" s="7" t="s">
        <v>354</v>
      </c>
      <c r="L31" s="7" t="s">
        <v>353</v>
      </c>
      <c r="M31" s="7" t="s">
        <v>364</v>
      </c>
      <c r="N31" s="1"/>
    </row>
    <row r="32" spans="2:34" ht="23.25">
      <c r="B32" s="958" t="s">
        <v>1</v>
      </c>
      <c r="C32" s="959"/>
      <c r="D32" s="763">
        <f>O124</f>
        <v>5333.2749999999996</v>
      </c>
      <c r="E32" s="763">
        <f>N124</f>
        <v>3117.3220000000001</v>
      </c>
      <c r="F32" s="759">
        <f>M124</f>
        <v>2053.8870000000002</v>
      </c>
      <c r="G32" s="552">
        <f>F32/E32-1</f>
        <v>-0.34113736085011426</v>
      </c>
      <c r="H32" s="552">
        <f>F32/D32-1</f>
        <v>-0.61489197538098073</v>
      </c>
      <c r="I32" s="51"/>
      <c r="J32" s="9">
        <f>K32/L32-1</f>
        <v>-0.34113736085011426</v>
      </c>
      <c r="K32" s="156">
        <f>F32</f>
        <v>2053.8870000000002</v>
      </c>
      <c r="L32" s="156">
        <f>E32</f>
        <v>3117.3220000000001</v>
      </c>
      <c r="M32" s="156">
        <f>F32</f>
        <v>2053.8870000000002</v>
      </c>
      <c r="N32" s="781" t="s">
        <v>5</v>
      </c>
    </row>
    <row r="33" spans="2:14" ht="23.25">
      <c r="B33" s="965" t="s">
        <v>2</v>
      </c>
      <c r="C33" s="965"/>
      <c r="D33" s="764"/>
      <c r="E33" s="375"/>
      <c r="F33" s="375"/>
      <c r="G33" s="376"/>
      <c r="H33" s="376"/>
      <c r="I33" s="51"/>
      <c r="J33" s="52"/>
      <c r="K33" s="5"/>
      <c r="L33" s="5"/>
      <c r="M33" s="5"/>
      <c r="N33" s="782" t="s">
        <v>8</v>
      </c>
    </row>
    <row r="34" spans="2:14" ht="19.5" customHeight="1">
      <c r="B34" s="373"/>
      <c r="C34" s="371" t="s">
        <v>12</v>
      </c>
      <c r="D34" s="549">
        <f>O128</f>
        <v>780.6</v>
      </c>
      <c r="E34" s="549">
        <f>N128</f>
        <v>441.32799999999997</v>
      </c>
      <c r="F34" s="550">
        <f>M128</f>
        <v>565.43399999999997</v>
      </c>
      <c r="G34" s="377">
        <f>F34/E34-1</f>
        <v>0.28121034695283331</v>
      </c>
      <c r="H34" s="555">
        <f>F34/D34-1</f>
        <v>-0.27564181398923915</v>
      </c>
      <c r="I34" s="53"/>
      <c r="J34" s="11">
        <f>K34/L34-1</f>
        <v>0.28121034695283331</v>
      </c>
      <c r="K34" s="12">
        <f>F34</f>
        <v>565.43399999999997</v>
      </c>
      <c r="L34" s="12">
        <f>E34</f>
        <v>441.32799999999997</v>
      </c>
      <c r="M34" s="12">
        <f>F34</f>
        <v>565.43399999999997</v>
      </c>
      <c r="N34" s="3" t="s">
        <v>16</v>
      </c>
    </row>
    <row r="35" spans="2:14" ht="18.75">
      <c r="B35" s="373"/>
      <c r="C35" s="371" t="s">
        <v>10</v>
      </c>
      <c r="D35" s="549">
        <f>O126</f>
        <v>781.78499999999997</v>
      </c>
      <c r="E35" s="549">
        <f>N126</f>
        <v>454.029</v>
      </c>
      <c r="F35" s="550">
        <f>M126</f>
        <v>477.80599999999998</v>
      </c>
      <c r="G35" s="377">
        <f>F35/E35-1</f>
        <v>5.2368901545936541E-2</v>
      </c>
      <c r="H35" s="555">
        <f t="shared" ref="H35:H38" si="5">F35/D35-1</f>
        <v>-0.38882685137218032</v>
      </c>
      <c r="I35" s="53"/>
      <c r="J35" s="11">
        <f>K35/L35-1</f>
        <v>5.2368901545936541E-2</v>
      </c>
      <c r="K35" s="12">
        <f t="shared" ref="K35:K38" si="6">F35</f>
        <v>477.80599999999998</v>
      </c>
      <c r="L35" s="12">
        <f t="shared" ref="L35:M38" si="7">E35</f>
        <v>454.029</v>
      </c>
      <c r="M35" s="12">
        <f t="shared" si="7"/>
        <v>477.80599999999998</v>
      </c>
      <c r="N35" s="3" t="s">
        <v>14</v>
      </c>
    </row>
    <row r="36" spans="2:14" ht="18.75">
      <c r="B36" s="373"/>
      <c r="C36" s="371" t="s">
        <v>11</v>
      </c>
      <c r="D36" s="549">
        <f>O127</f>
        <v>509.13</v>
      </c>
      <c r="E36" s="549">
        <f>N127</f>
        <v>283.97000000000003</v>
      </c>
      <c r="F36" s="550">
        <f>M127</f>
        <v>349.66800000000001</v>
      </c>
      <c r="G36" s="377">
        <f>F36/E36-1</f>
        <v>0.2313554248688241</v>
      </c>
      <c r="H36" s="555">
        <f t="shared" si="5"/>
        <v>-0.31320487891108362</v>
      </c>
      <c r="I36" s="53"/>
      <c r="J36" s="11">
        <f>K36/L36-1</f>
        <v>0.2313554248688241</v>
      </c>
      <c r="K36" s="12">
        <f t="shared" si="6"/>
        <v>349.66800000000001</v>
      </c>
      <c r="L36" s="12">
        <f t="shared" si="7"/>
        <v>283.97000000000003</v>
      </c>
      <c r="M36" s="12">
        <f t="shared" si="7"/>
        <v>349.66800000000001</v>
      </c>
      <c r="N36" s="3" t="s">
        <v>15</v>
      </c>
    </row>
    <row r="37" spans="2:14" ht="18.75">
      <c r="B37" s="373"/>
      <c r="C37" s="754" t="s">
        <v>300</v>
      </c>
      <c r="D37" s="755">
        <f>O130</f>
        <v>96.63</v>
      </c>
      <c r="E37" s="755">
        <f>N130</f>
        <v>81.180000000000007</v>
      </c>
      <c r="F37" s="756">
        <f>M130</f>
        <v>82.513999999999996</v>
      </c>
      <c r="G37" s="757">
        <f>F37/E37-1</f>
        <v>1.6432618871643045E-2</v>
      </c>
      <c r="H37" s="555">
        <f t="shared" si="5"/>
        <v>-0.14608299699886163</v>
      </c>
      <c r="I37" s="556"/>
      <c r="J37" s="648">
        <f>K37/L37-1</f>
        <v>1.6432618871643045E-2</v>
      </c>
      <c r="K37" s="656">
        <f t="shared" si="6"/>
        <v>82.513999999999996</v>
      </c>
      <c r="L37" s="656">
        <f t="shared" si="7"/>
        <v>81.180000000000007</v>
      </c>
      <c r="M37" s="656">
        <f t="shared" si="7"/>
        <v>82.513999999999996</v>
      </c>
      <c r="N37" s="158" t="s">
        <v>18</v>
      </c>
    </row>
    <row r="38" spans="2:14" ht="18.75">
      <c r="B38" s="374"/>
      <c r="C38" s="554" t="s">
        <v>13</v>
      </c>
      <c r="D38" s="566">
        <f>O129</f>
        <v>52.38</v>
      </c>
      <c r="E38" s="566">
        <f>N129</f>
        <v>37.909999999999997</v>
      </c>
      <c r="F38" s="560">
        <f>M129</f>
        <v>33.590000000000003</v>
      </c>
      <c r="G38" s="555">
        <f>F38/E38-1</f>
        <v>-0.11395410182010002</v>
      </c>
      <c r="H38" s="555">
        <f t="shared" si="5"/>
        <v>-0.35872470408552881</v>
      </c>
      <c r="I38" s="556"/>
      <c r="J38" s="557">
        <f>K38/L38-1</f>
        <v>-0.11395410182010002</v>
      </c>
      <c r="K38" s="558">
        <f t="shared" si="6"/>
        <v>33.590000000000003</v>
      </c>
      <c r="L38" s="558">
        <f t="shared" si="7"/>
        <v>37.909999999999997</v>
      </c>
      <c r="M38" s="558">
        <f t="shared" si="7"/>
        <v>33.590000000000003</v>
      </c>
      <c r="N38" s="559" t="s">
        <v>17</v>
      </c>
    </row>
    <row r="39" spans="2:14" ht="9" customHeight="1">
      <c r="B39" s="50"/>
      <c r="C39" s="50"/>
      <c r="D39" s="50"/>
      <c r="E39" s="50"/>
      <c r="F39" s="50"/>
      <c r="G39" s="54"/>
      <c r="H39" s="54"/>
      <c r="I39" s="55"/>
      <c r="J39" s="54"/>
      <c r="K39" s="50"/>
      <c r="L39" s="50"/>
      <c r="M39" s="50"/>
      <c r="N39" s="50"/>
    </row>
    <row r="41" spans="2:14">
      <c r="I41">
        <v>1</v>
      </c>
    </row>
    <row r="55" spans="2:14" ht="23.25">
      <c r="B55" s="951" t="s">
        <v>142</v>
      </c>
      <c r="C55" s="951"/>
      <c r="D55" s="951"/>
      <c r="E55" s="951"/>
      <c r="F55" s="951"/>
      <c r="G55" s="16"/>
      <c r="H55" s="858"/>
      <c r="J55" s="50"/>
      <c r="K55" s="951" t="s">
        <v>19</v>
      </c>
      <c r="L55" s="951"/>
      <c r="M55" s="951"/>
      <c r="N55" s="951"/>
    </row>
    <row r="56" spans="2:14" ht="7.5" customHeight="1">
      <c r="B56" s="1"/>
      <c r="C56" s="1"/>
      <c r="D56" s="1"/>
      <c r="E56" s="1"/>
      <c r="F56" s="1"/>
      <c r="G56" s="1"/>
      <c r="H56" s="1"/>
      <c r="K56" s="1"/>
      <c r="L56" s="1"/>
      <c r="M56" s="1"/>
      <c r="N56" s="1"/>
    </row>
    <row r="57" spans="2:14" ht="18.75">
      <c r="B57" s="1"/>
      <c r="C57" s="1"/>
      <c r="D57" s="18" t="s">
        <v>363</v>
      </c>
      <c r="E57" s="18" t="s">
        <v>351</v>
      </c>
      <c r="F57" s="18" t="s">
        <v>352</v>
      </c>
      <c r="G57" s="406" t="s">
        <v>181</v>
      </c>
      <c r="H57" s="857" t="s">
        <v>225</v>
      </c>
      <c r="J57" s="18" t="s">
        <v>97</v>
      </c>
      <c r="K57" s="7" t="s">
        <v>354</v>
      </c>
      <c r="L57" s="7" t="s">
        <v>353</v>
      </c>
      <c r="M57" s="1"/>
      <c r="N57" s="1"/>
    </row>
    <row r="58" spans="2:14" ht="23.25">
      <c r="B58" s="960" t="s">
        <v>1</v>
      </c>
      <c r="C58" s="961"/>
      <c r="D58" s="758">
        <f>O138</f>
        <v>385.11</v>
      </c>
      <c r="E58" s="758">
        <f>N138</f>
        <v>64.820999999999998</v>
      </c>
      <c r="F58" s="551">
        <f>M138</f>
        <v>7.1</v>
      </c>
      <c r="G58" s="552">
        <f>F58/E58-1</f>
        <v>-0.8904675953780411</v>
      </c>
      <c r="H58" s="552">
        <f>F58/D58-1</f>
        <v>-0.98156370907013579</v>
      </c>
      <c r="I58" s="51"/>
      <c r="J58" s="553">
        <f>K58/L58-1</f>
        <v>-0.8904675953780411</v>
      </c>
      <c r="K58" s="639">
        <f>F58</f>
        <v>7.1</v>
      </c>
      <c r="L58" s="639">
        <f>E58</f>
        <v>64.820999999999998</v>
      </c>
      <c r="M58" s="952" t="s">
        <v>5</v>
      </c>
      <c r="N58" s="952"/>
    </row>
    <row r="59" spans="2:14" ht="23.25">
      <c r="B59" s="953" t="s">
        <v>2</v>
      </c>
      <c r="C59" s="953"/>
      <c r="D59" s="760"/>
      <c r="E59" s="378"/>
      <c r="F59" s="378"/>
      <c r="G59" s="370"/>
      <c r="H59" s="376"/>
      <c r="I59" s="51"/>
      <c r="J59" s="52"/>
      <c r="K59" s="5"/>
      <c r="L59" s="5"/>
      <c r="M59" s="954" t="s">
        <v>8</v>
      </c>
      <c r="N59" s="954"/>
    </row>
    <row r="60" spans="2:14" ht="18.75">
      <c r="B60" s="373"/>
      <c r="C60" s="554" t="s">
        <v>12</v>
      </c>
      <c r="D60" s="566">
        <f>O142</f>
        <v>764.15499999999997</v>
      </c>
      <c r="E60" s="566">
        <f>N142</f>
        <v>384.77800000000002</v>
      </c>
      <c r="F60" s="560">
        <f>M142</f>
        <v>351.07299999999998</v>
      </c>
      <c r="G60" s="561">
        <f>F60/E60-1</f>
        <v>-8.7595964426240736E-2</v>
      </c>
      <c r="H60" s="555">
        <f>F60/D60-1</f>
        <v>-0.54057357473287482</v>
      </c>
      <c r="I60" s="53"/>
      <c r="J60" s="11">
        <f>K60/L60-1</f>
        <v>-8.7595964426240736E-2</v>
      </c>
      <c r="K60" s="12">
        <f>F60</f>
        <v>351.07299999999998</v>
      </c>
      <c r="L60" s="12">
        <f>E60</f>
        <v>384.77800000000002</v>
      </c>
      <c r="M60" s="3" t="s">
        <v>16</v>
      </c>
      <c r="N60" s="1" t="s">
        <v>0</v>
      </c>
    </row>
    <row r="61" spans="2:14" ht="18.75">
      <c r="B61" s="373"/>
      <c r="C61" s="554" t="s">
        <v>11</v>
      </c>
      <c r="D61" s="566">
        <f>O141</f>
        <v>473.18900000000002</v>
      </c>
      <c r="E61" s="566">
        <f>N141</f>
        <v>330.995</v>
      </c>
      <c r="F61" s="560">
        <f>M141</f>
        <v>305.74</v>
      </c>
      <c r="G61" s="561">
        <f>F61/E61-1</f>
        <v>-7.6300246227284374E-2</v>
      </c>
      <c r="H61" s="555">
        <f t="shared" ref="H61:H64" si="8">F61/D61-1</f>
        <v>-0.35387339942390883</v>
      </c>
      <c r="I61" s="53"/>
      <c r="J61" s="11">
        <f>K61/L61-1</f>
        <v>-7.6300246227284374E-2</v>
      </c>
      <c r="K61" s="12">
        <f>F61</f>
        <v>305.74</v>
      </c>
      <c r="L61" s="12">
        <f>E61</f>
        <v>330.995</v>
      </c>
      <c r="M61" s="3" t="s">
        <v>15</v>
      </c>
      <c r="N61" s="1" t="s">
        <v>0</v>
      </c>
    </row>
    <row r="62" spans="2:14" ht="18.75">
      <c r="B62" s="373"/>
      <c r="C62" s="371" t="s">
        <v>10</v>
      </c>
      <c r="D62" s="549">
        <f>O140</f>
        <v>358.99900000000002</v>
      </c>
      <c r="E62" s="549">
        <f>N140</f>
        <v>176.268</v>
      </c>
      <c r="F62" s="550">
        <f>M140</f>
        <v>179.828</v>
      </c>
      <c r="G62" s="372">
        <f>F62/E62-1</f>
        <v>2.0196518937073193E-2</v>
      </c>
      <c r="H62" s="555">
        <f t="shared" si="8"/>
        <v>-0.49908495566840017</v>
      </c>
      <c r="I62" s="53"/>
      <c r="J62" s="11">
        <f>K62/L62-1</f>
        <v>2.0196518937073193E-2</v>
      </c>
      <c r="K62" s="12">
        <f>F62</f>
        <v>179.828</v>
      </c>
      <c r="L62" s="12">
        <f>E62</f>
        <v>176.268</v>
      </c>
      <c r="M62" s="3" t="s">
        <v>14</v>
      </c>
      <c r="N62" s="1" t="s">
        <v>0</v>
      </c>
    </row>
    <row r="63" spans="2:14" ht="18.75">
      <c r="B63" s="373"/>
      <c r="C63" s="371" t="s">
        <v>300</v>
      </c>
      <c r="D63" s="762">
        <f>O144</f>
        <v>91.257999999999996</v>
      </c>
      <c r="E63" s="762">
        <f>N144</f>
        <v>74.521000000000001</v>
      </c>
      <c r="F63" s="550">
        <f>M144</f>
        <v>85.284999999999997</v>
      </c>
      <c r="G63" s="372">
        <f>F63/E63-1</f>
        <v>0.14444250613920895</v>
      </c>
      <c r="H63" s="555">
        <f t="shared" si="8"/>
        <v>-6.5451796006925411E-2</v>
      </c>
      <c r="I63" s="53"/>
      <c r="J63" s="11">
        <f>K63/L63-1</f>
        <v>0.14444250613920895</v>
      </c>
      <c r="K63" s="12">
        <f>F63</f>
        <v>85.284999999999997</v>
      </c>
      <c r="L63" s="12">
        <f>E63</f>
        <v>74.521000000000001</v>
      </c>
      <c r="M63" s="3" t="s">
        <v>18</v>
      </c>
      <c r="N63" s="1" t="s">
        <v>0</v>
      </c>
    </row>
    <row r="64" spans="2:14" ht="18.75">
      <c r="B64" s="373"/>
      <c r="C64" s="554" t="s">
        <v>13</v>
      </c>
      <c r="D64" s="762">
        <f>O143</f>
        <v>36.94</v>
      </c>
      <c r="E64" s="762">
        <f>N143</f>
        <v>19.3</v>
      </c>
      <c r="F64" s="761">
        <f>M143</f>
        <v>10.8</v>
      </c>
      <c r="G64" s="561">
        <f>F64/E64-1</f>
        <v>-0.44041450777202074</v>
      </c>
      <c r="H64" s="555">
        <f t="shared" si="8"/>
        <v>-0.70763400108283703</v>
      </c>
      <c r="I64" s="556"/>
      <c r="J64" s="557">
        <f>K64/L64-1</f>
        <v>-0.44041450777202074</v>
      </c>
      <c r="K64" s="558">
        <f>F64</f>
        <v>10.8</v>
      </c>
      <c r="L64" s="558">
        <f>E64</f>
        <v>19.3</v>
      </c>
      <c r="M64" s="559" t="s">
        <v>17</v>
      </c>
      <c r="N64" s="562" t="s">
        <v>0</v>
      </c>
    </row>
    <row r="65" spans="2:14" ht="9.75" customHeight="1">
      <c r="B65" s="50"/>
      <c r="C65" s="50"/>
      <c r="D65" s="50"/>
      <c r="E65" s="50"/>
      <c r="F65" s="50"/>
      <c r="G65" s="54"/>
      <c r="H65" s="54"/>
      <c r="I65" s="55"/>
      <c r="J65" s="54"/>
      <c r="K65" s="50"/>
      <c r="L65" s="50"/>
      <c r="M65" s="50"/>
      <c r="N65" s="50"/>
    </row>
    <row r="80" spans="2:14" ht="23.25">
      <c r="B80" s="951" t="s">
        <v>147</v>
      </c>
      <c r="C80" s="951"/>
      <c r="D80" s="951"/>
      <c r="E80" s="951"/>
      <c r="F80" s="951"/>
      <c r="G80" s="16"/>
      <c r="H80" s="858"/>
      <c r="J80" s="50"/>
      <c r="K80" s="951" t="s">
        <v>20</v>
      </c>
      <c r="L80" s="951"/>
      <c r="M80" s="951"/>
      <c r="N80" s="951"/>
    </row>
    <row r="81" spans="2:14" ht="10.5" customHeight="1">
      <c r="B81" s="1"/>
      <c r="C81" s="1"/>
      <c r="D81" s="1"/>
      <c r="E81" s="1"/>
      <c r="F81" s="1"/>
      <c r="G81" s="1"/>
      <c r="H81" s="1"/>
      <c r="J81" s="1"/>
      <c r="K81" s="1"/>
      <c r="L81" s="1"/>
      <c r="M81" s="1"/>
      <c r="N81" s="1"/>
    </row>
    <row r="82" spans="2:14" ht="18.75">
      <c r="B82" s="1"/>
      <c r="C82" s="1"/>
      <c r="D82" s="18" t="s">
        <v>363</v>
      </c>
      <c r="E82" s="18" t="s">
        <v>351</v>
      </c>
      <c r="F82" s="18" t="s">
        <v>352</v>
      </c>
      <c r="G82" s="406" t="s">
        <v>181</v>
      </c>
      <c r="H82" s="857" t="s">
        <v>225</v>
      </c>
      <c r="J82" s="18" t="s">
        <v>97</v>
      </c>
      <c r="K82" s="7" t="s">
        <v>354</v>
      </c>
      <c r="L82" s="7" t="s">
        <v>353</v>
      </c>
      <c r="M82" s="1"/>
      <c r="N82" s="1"/>
    </row>
    <row r="83" spans="2:14" ht="23.25">
      <c r="B83" s="380" t="s">
        <v>1</v>
      </c>
      <c r="C83" s="567"/>
      <c r="D83" s="758">
        <f>O148</f>
        <v>4315.7</v>
      </c>
      <c r="E83" s="758">
        <f>N148</f>
        <v>3084.9749999999999</v>
      </c>
      <c r="F83" s="551">
        <f>M148</f>
        <v>2386.1379999999999</v>
      </c>
      <c r="G83" s="552">
        <f>F83/E83-1</f>
        <v>-0.22652922633084549</v>
      </c>
      <c r="H83" s="552">
        <f>F83/D83-1</f>
        <v>-0.44710290335287439</v>
      </c>
      <c r="I83" s="51"/>
      <c r="J83" s="9">
        <f>K83/L83-1</f>
        <v>-0.22652922633084549</v>
      </c>
      <c r="K83" s="156">
        <f>F83</f>
        <v>2386.1379999999999</v>
      </c>
      <c r="L83" s="156">
        <f>E83</f>
        <v>3084.9749999999999</v>
      </c>
      <c r="M83" s="62" t="s">
        <v>5</v>
      </c>
      <c r="N83" s="62"/>
    </row>
    <row r="84" spans="2:14" ht="23.25">
      <c r="B84" s="379" t="s">
        <v>2</v>
      </c>
      <c r="C84" s="379"/>
      <c r="D84" s="378"/>
      <c r="E84" s="378"/>
      <c r="F84" s="378"/>
      <c r="G84" s="370"/>
      <c r="H84" s="376"/>
      <c r="I84" s="51"/>
      <c r="J84" s="52"/>
      <c r="K84" s="5"/>
      <c r="L84" s="5"/>
      <c r="M84" s="63" t="s">
        <v>8</v>
      </c>
      <c r="N84" s="63"/>
    </row>
    <row r="85" spans="2:14" ht="18.75">
      <c r="B85" s="381"/>
      <c r="C85" s="371" t="s">
        <v>10</v>
      </c>
      <c r="D85" s="549">
        <f>O150</f>
        <v>82.808000000000007</v>
      </c>
      <c r="E85" s="549">
        <f>N150</f>
        <v>73.105999999999995</v>
      </c>
      <c r="F85" s="550">
        <f>M150</f>
        <v>81.28</v>
      </c>
      <c r="G85" s="372">
        <f>F85/E85-1</f>
        <v>0.11181024813284823</v>
      </c>
      <c r="H85" s="555">
        <f>F85/D85-1</f>
        <v>-1.8452323447009977E-2</v>
      </c>
      <c r="I85" s="53"/>
      <c r="J85" s="11">
        <f>K85/L85-1</f>
        <v>0.11181024813284823</v>
      </c>
      <c r="K85" s="12">
        <f>F85</f>
        <v>81.28</v>
      </c>
      <c r="L85" s="12">
        <f>E85</f>
        <v>73.105999999999995</v>
      </c>
      <c r="M85" s="3" t="s">
        <v>14</v>
      </c>
      <c r="N85" s="1" t="s">
        <v>0</v>
      </c>
    </row>
    <row r="86" spans="2:14" ht="18.75">
      <c r="B86" s="381"/>
      <c r="C86" s="554" t="s">
        <v>12</v>
      </c>
      <c r="D86" s="566">
        <f>O152</f>
        <v>31.696999999999999</v>
      </c>
      <c r="E86" s="566">
        <f>N152</f>
        <v>42.652000000000001</v>
      </c>
      <c r="F86" s="560">
        <f>M152</f>
        <v>32.454999999999998</v>
      </c>
      <c r="G86" s="561">
        <f>F86/E86-1</f>
        <v>-0.23907436931445192</v>
      </c>
      <c r="H86" s="555">
        <f t="shared" ref="H86:H89" si="9">F86/D86-1</f>
        <v>2.3913935072719772E-2</v>
      </c>
      <c r="I86" s="556"/>
      <c r="J86" s="557">
        <f>K86/L86-1</f>
        <v>-0.23907436931445192</v>
      </c>
      <c r="K86" s="558">
        <f>F86</f>
        <v>32.454999999999998</v>
      </c>
      <c r="L86" s="558">
        <f>E86</f>
        <v>42.652000000000001</v>
      </c>
      <c r="M86" s="559" t="s">
        <v>16</v>
      </c>
    </row>
    <row r="87" spans="2:14" ht="18.75">
      <c r="B87" s="381"/>
      <c r="C87" s="371" t="s">
        <v>13</v>
      </c>
      <c r="D87" s="549">
        <f>O153</f>
        <v>15.685</v>
      </c>
      <c r="E87" s="549">
        <f>N153</f>
        <v>16.302</v>
      </c>
      <c r="F87" s="550">
        <f>M153</f>
        <v>17.334</v>
      </c>
      <c r="G87" s="372">
        <f>F87/E87-1</f>
        <v>6.3305115936694856E-2</v>
      </c>
      <c r="H87" s="555">
        <f t="shared" si="9"/>
        <v>0.10513229199872476</v>
      </c>
      <c r="I87" s="53"/>
      <c r="J87" s="11">
        <f>K87/L87-1</f>
        <v>6.3305115936694856E-2</v>
      </c>
      <c r="K87" s="12">
        <f>F87</f>
        <v>17.334</v>
      </c>
      <c r="L87" s="12">
        <f>E87</f>
        <v>16.302</v>
      </c>
      <c r="M87" s="3" t="s">
        <v>17</v>
      </c>
      <c r="N87" s="1" t="s">
        <v>0</v>
      </c>
    </row>
    <row r="88" spans="2:14" ht="18.75">
      <c r="B88" s="381"/>
      <c r="C88" s="554" t="s">
        <v>11</v>
      </c>
      <c r="D88" s="566">
        <f>O151</f>
        <v>9.5719999999999992</v>
      </c>
      <c r="E88" s="566">
        <f>N151</f>
        <v>11.289</v>
      </c>
      <c r="F88" s="560">
        <f>M151</f>
        <v>10.019</v>
      </c>
      <c r="G88" s="561">
        <f>F88/E88-1</f>
        <v>-0.11249889272743374</v>
      </c>
      <c r="H88" s="555">
        <f t="shared" si="9"/>
        <v>4.6698704554952064E-2</v>
      </c>
      <c r="I88" s="556"/>
      <c r="J88" s="557">
        <f>K88/L88-1</f>
        <v>-0.11249889272743374</v>
      </c>
      <c r="K88" s="558">
        <f>F88</f>
        <v>10.019</v>
      </c>
      <c r="L88" s="558">
        <f>E88</f>
        <v>11.289</v>
      </c>
      <c r="M88" s="559" t="s">
        <v>15</v>
      </c>
      <c r="N88" s="1" t="s">
        <v>0</v>
      </c>
    </row>
    <row r="89" spans="2:14" ht="19.5" thickBot="1">
      <c r="B89" s="381"/>
      <c r="C89" s="554" t="s">
        <v>300</v>
      </c>
      <c r="D89" s="564">
        <f>O154</f>
        <v>4.1230000000000002</v>
      </c>
      <c r="E89" s="564">
        <f>N154</f>
        <v>2.4809999999999999</v>
      </c>
      <c r="F89" s="565">
        <f>M154</f>
        <v>2.4700000000000002</v>
      </c>
      <c r="G89" s="561">
        <f>F89/E89-1</f>
        <v>-4.4336960902860989E-3</v>
      </c>
      <c r="H89" s="555">
        <f t="shared" si="9"/>
        <v>-0.40092165898617504</v>
      </c>
      <c r="I89" s="556"/>
      <c r="J89" s="557">
        <f>K89/L89-1</f>
        <v>-4.4336960902860989E-3</v>
      </c>
      <c r="K89" s="563">
        <f>F89</f>
        <v>2.4700000000000002</v>
      </c>
      <c r="L89" s="563">
        <f>E89</f>
        <v>2.4809999999999999</v>
      </c>
      <c r="M89" s="559" t="s">
        <v>18</v>
      </c>
      <c r="N89" s="1" t="s">
        <v>0</v>
      </c>
    </row>
    <row r="90" spans="2:14" ht="13.5" customHeight="1">
      <c r="B90" s="765"/>
      <c r="C90" s="765"/>
      <c r="D90" s="765"/>
      <c r="E90" s="765"/>
      <c r="F90" s="765"/>
      <c r="G90" s="766"/>
      <c r="H90" s="766"/>
      <c r="I90" s="55"/>
      <c r="J90" s="54"/>
      <c r="K90" s="50"/>
      <c r="L90" s="50"/>
      <c r="M90" s="50"/>
      <c r="N90" s="50"/>
    </row>
    <row r="104" spans="3:37" ht="15.75">
      <c r="C104" s="323"/>
      <c r="D104" s="323"/>
      <c r="E104" s="323"/>
      <c r="F104" s="323"/>
      <c r="G104" s="323"/>
      <c r="H104" s="323"/>
      <c r="I104" s="323"/>
      <c r="J104" s="324"/>
      <c r="K104" s="324"/>
      <c r="L104" s="324"/>
      <c r="M104" s="324"/>
      <c r="N104" s="324"/>
      <c r="O104" s="324"/>
      <c r="P104" s="947" t="s">
        <v>282</v>
      </c>
      <c r="Q104" s="947"/>
      <c r="S104" s="323"/>
      <c r="T104" s="323"/>
      <c r="U104" s="323"/>
      <c r="V104" s="323"/>
      <c r="W104" s="323"/>
      <c r="X104" s="324"/>
      <c r="Y104" s="324"/>
      <c r="Z104" s="324"/>
      <c r="AA104" s="324"/>
      <c r="AB104" s="324"/>
      <c r="AC104" s="324"/>
      <c r="AD104" s="324"/>
      <c r="AE104" s="324"/>
      <c r="AF104" s="324"/>
      <c r="AG104" s="919" t="s">
        <v>282</v>
      </c>
      <c r="AH104" s="919"/>
    </row>
    <row r="105" spans="3:37" ht="34.5">
      <c r="C105" s="948" t="s">
        <v>283</v>
      </c>
      <c r="D105" s="949"/>
      <c r="E105" s="949"/>
      <c r="F105" s="949"/>
      <c r="G105" s="949"/>
      <c r="H105" s="949"/>
      <c r="I105" s="949"/>
      <c r="J105" s="949"/>
      <c r="K105" s="949"/>
      <c r="L105" s="949"/>
      <c r="M105" s="949"/>
      <c r="N105" s="949"/>
      <c r="O105" s="949"/>
      <c r="P105" s="949"/>
      <c r="Q105" s="950"/>
      <c r="S105" s="948" t="s">
        <v>283</v>
      </c>
      <c r="T105" s="949"/>
      <c r="U105" s="949"/>
      <c r="V105" s="949"/>
      <c r="W105" s="949"/>
      <c r="X105" s="949"/>
      <c r="Y105" s="949"/>
      <c r="Z105" s="949"/>
      <c r="AA105" s="949"/>
      <c r="AB105" s="949"/>
      <c r="AC105" s="949"/>
      <c r="AD105" s="949"/>
      <c r="AE105" s="949"/>
      <c r="AF105" s="949"/>
      <c r="AG105" s="949"/>
      <c r="AH105" s="950"/>
    </row>
    <row r="106" spans="3:37" ht="25.5">
      <c r="C106" s="968"/>
      <c r="D106" s="968"/>
      <c r="E106" s="968"/>
      <c r="F106" s="968"/>
      <c r="G106" s="968"/>
      <c r="H106" s="968"/>
      <c r="I106" s="968"/>
      <c r="J106" s="968"/>
      <c r="K106" s="968"/>
      <c r="L106" s="968"/>
      <c r="M106" s="968"/>
      <c r="N106" s="968"/>
      <c r="O106" s="968"/>
      <c r="P106" s="968"/>
      <c r="Q106" s="968"/>
      <c r="S106" s="968" t="s">
        <v>346</v>
      </c>
      <c r="T106" s="968"/>
      <c r="U106" s="968"/>
      <c r="V106" s="968"/>
      <c r="W106" s="968"/>
      <c r="X106" s="968"/>
      <c r="Y106" s="968"/>
      <c r="Z106" s="968"/>
      <c r="AA106" s="968"/>
      <c r="AB106" s="968"/>
      <c r="AC106" s="968"/>
      <c r="AD106" s="968"/>
      <c r="AE106" s="968"/>
      <c r="AF106" s="968"/>
      <c r="AG106" s="968"/>
      <c r="AH106" s="968"/>
    </row>
    <row r="107" spans="3:37" ht="27">
      <c r="C107" s="971"/>
      <c r="D107" s="971"/>
      <c r="E107" s="971"/>
      <c r="F107" s="971"/>
      <c r="G107" s="971"/>
      <c r="H107" s="971"/>
      <c r="I107" s="971"/>
      <c r="J107" s="971"/>
      <c r="K107" s="971"/>
      <c r="L107" s="971"/>
      <c r="M107" s="971"/>
      <c r="N107" s="971"/>
      <c r="O107" s="971"/>
      <c r="P107" s="971"/>
      <c r="Q107" s="971"/>
      <c r="S107" s="574"/>
      <c r="T107" s="574"/>
      <c r="U107" s="574"/>
      <c r="V107" s="574"/>
      <c r="W107" s="574"/>
      <c r="X107" s="574"/>
      <c r="Y107" s="574"/>
      <c r="Z107" s="972" t="s">
        <v>347</v>
      </c>
      <c r="AA107" s="972"/>
      <c r="AB107" s="972"/>
      <c r="AC107" s="574"/>
      <c r="AD107" s="574"/>
      <c r="AE107" s="574"/>
      <c r="AF107" s="574"/>
      <c r="AG107" s="574"/>
      <c r="AH107" s="574"/>
    </row>
    <row r="108" spans="3:37" ht="26.25" thickBot="1">
      <c r="C108" s="325"/>
      <c r="D108" s="325"/>
      <c r="E108" s="325"/>
      <c r="F108" s="325"/>
      <c r="G108" s="325"/>
      <c r="H108" s="325"/>
      <c r="I108" s="325"/>
      <c r="J108" s="326"/>
      <c r="K108" s="327"/>
      <c r="L108" s="327"/>
      <c r="M108" s="929"/>
      <c r="N108" s="929"/>
      <c r="O108" s="929"/>
      <c r="P108" s="929"/>
      <c r="Q108" s="929"/>
      <c r="S108" s="325"/>
      <c r="T108" s="325"/>
      <c r="U108" s="325"/>
      <c r="V108" s="325"/>
      <c r="W108" s="325"/>
      <c r="X108" s="326"/>
      <c r="Y108" s="969" t="s">
        <v>348</v>
      </c>
      <c r="Z108" s="969"/>
      <c r="AA108" s="327"/>
      <c r="AB108" s="327"/>
      <c r="AC108" s="327"/>
      <c r="AD108" s="970" t="s">
        <v>96</v>
      </c>
      <c r="AE108" s="970"/>
      <c r="AF108" s="970"/>
      <c r="AG108" s="970"/>
      <c r="AH108" s="970"/>
    </row>
    <row r="109" spans="3:37" ht="19.5" customHeight="1" thickBot="1">
      <c r="C109" s="325"/>
      <c r="D109" s="325"/>
      <c r="E109" s="325"/>
      <c r="F109" s="325"/>
      <c r="G109" s="325"/>
      <c r="H109" s="325"/>
      <c r="I109" s="325"/>
      <c r="J109" s="326"/>
      <c r="K109" s="906" t="s">
        <v>296</v>
      </c>
      <c r="L109" s="907"/>
      <c r="M109" s="908" t="s">
        <v>349</v>
      </c>
      <c r="N109" s="909"/>
      <c r="O109" s="910"/>
      <c r="P109" s="911" t="s">
        <v>284</v>
      </c>
      <c r="Q109" s="912"/>
      <c r="S109" s="325"/>
      <c r="T109" s="325"/>
      <c r="U109" s="325"/>
      <c r="V109" s="325"/>
      <c r="W109" s="325"/>
      <c r="X109" s="326"/>
      <c r="Y109" s="885" t="s">
        <v>307</v>
      </c>
      <c r="Z109" s="886"/>
      <c r="AA109" s="887"/>
      <c r="AB109" s="889" t="s">
        <v>308</v>
      </c>
      <c r="AC109" s="890"/>
      <c r="AD109" s="966" t="s">
        <v>349</v>
      </c>
      <c r="AE109" s="886"/>
      <c r="AF109" s="887"/>
      <c r="AG109" s="967" t="s">
        <v>309</v>
      </c>
      <c r="AH109" s="967"/>
    </row>
    <row r="110" spans="3:37" ht="15.75" customHeight="1" thickBot="1">
      <c r="C110" s="325"/>
      <c r="D110" s="325"/>
      <c r="E110" s="325"/>
      <c r="F110" s="325"/>
      <c r="G110" s="325"/>
      <c r="H110" s="325"/>
      <c r="I110" s="325"/>
      <c r="J110" s="326"/>
      <c r="K110" s="328" t="s">
        <v>181</v>
      </c>
      <c r="L110" s="329" t="s">
        <v>225</v>
      </c>
      <c r="M110" s="330">
        <v>2013</v>
      </c>
      <c r="N110" s="331">
        <v>2012</v>
      </c>
      <c r="O110" s="332">
        <v>2010</v>
      </c>
      <c r="P110" s="913"/>
      <c r="Q110" s="914"/>
      <c r="S110" s="325"/>
      <c r="T110" s="325"/>
      <c r="U110" s="325"/>
      <c r="V110" s="325"/>
      <c r="W110" s="325"/>
      <c r="X110" s="326"/>
      <c r="Y110" s="407" t="s">
        <v>310</v>
      </c>
      <c r="Z110" s="408" t="s">
        <v>311</v>
      </c>
      <c r="AA110" s="409">
        <v>2011</v>
      </c>
      <c r="AB110" s="410" t="s">
        <v>312</v>
      </c>
      <c r="AC110" s="411" t="s">
        <v>313</v>
      </c>
      <c r="AD110" s="412">
        <v>2013</v>
      </c>
      <c r="AE110" s="413">
        <v>2012</v>
      </c>
      <c r="AF110" s="414">
        <v>2010</v>
      </c>
      <c r="AG110" s="967"/>
      <c r="AH110" s="967"/>
    </row>
    <row r="111" spans="3:37" ht="18.75">
      <c r="C111" s="325"/>
      <c r="D111" s="325"/>
      <c r="E111" s="325"/>
      <c r="F111" s="325"/>
      <c r="G111" s="325"/>
      <c r="H111" s="325"/>
      <c r="I111" s="325"/>
      <c r="J111" s="326"/>
      <c r="K111" s="745">
        <f>M111/N111-1</f>
        <v>-0.36664634279990238</v>
      </c>
      <c r="L111" s="746">
        <f>M111/O111-1</f>
        <v>-0.20989562369334314</v>
      </c>
      <c r="M111" s="772">
        <f t="shared" ref="M111" si="10">AD111*$AD$119</f>
        <v>383.95824474599999</v>
      </c>
      <c r="N111" s="772">
        <f>AE111*$AE$119</f>
        <v>606.23040600000002</v>
      </c>
      <c r="O111" s="773">
        <f>AF111*$AF$119</f>
        <v>485.95888879999995</v>
      </c>
      <c r="P111" s="934" t="s">
        <v>285</v>
      </c>
      <c r="Q111" s="935"/>
      <c r="S111" s="325"/>
      <c r="T111" s="325"/>
      <c r="U111" s="325"/>
      <c r="V111" s="325"/>
      <c r="W111" s="325"/>
      <c r="X111" s="326"/>
      <c r="Y111" s="415">
        <f t="shared" ref="Y111:Z111" si="11">SUM(Y112:Y113)</f>
        <v>717.30769230769226</v>
      </c>
      <c r="Z111" s="416">
        <f t="shared" si="11"/>
        <v>633.8839800230503</v>
      </c>
      <c r="AA111" s="417">
        <f>SUM(AA112:AA113)</f>
        <v>419.25935556502594</v>
      </c>
      <c r="AB111" s="473">
        <f>(AD111-AE111)*100/AE111</f>
        <v>-38.730559536467723</v>
      </c>
      <c r="AC111" s="474">
        <f>(AD111-AF111)*100/AF111</f>
        <v>-29.683410461531206</v>
      </c>
      <c r="AD111" s="333">
        <v>238.557468</v>
      </c>
      <c r="AE111" s="334">
        <v>389.358</v>
      </c>
      <c r="AF111" s="334">
        <v>339.262</v>
      </c>
      <c r="AG111" s="964" t="s">
        <v>285</v>
      </c>
      <c r="AH111" s="964"/>
      <c r="AI111" s="767">
        <f t="shared" ref="AI111:AI118" si="12">AD111*$AD$119</f>
        <v>383.95824474599999</v>
      </c>
      <c r="AJ111" s="767">
        <f t="shared" ref="AJ111:AJ118" si="13">AE111*$AE$119</f>
        <v>606.23040600000002</v>
      </c>
      <c r="AK111" s="767">
        <f t="shared" ref="AK111:AK118" si="14">AF111*$AF$119</f>
        <v>485.95888879999995</v>
      </c>
    </row>
    <row r="112" spans="3:37" ht="18.75">
      <c r="C112" s="325"/>
      <c r="D112" s="325"/>
      <c r="E112" s="325"/>
      <c r="F112" s="325"/>
      <c r="G112" s="325"/>
      <c r="H112" s="325"/>
      <c r="I112" s="325"/>
      <c r="J112" s="326"/>
      <c r="K112" s="747">
        <f>M112/N112-1</f>
        <v>-0.89202817884867547</v>
      </c>
      <c r="L112" s="748">
        <f>M112/O112-1</f>
        <v>-0.97035782955157002</v>
      </c>
      <c r="M112" s="776">
        <f t="shared" ref="M112:M118" si="15">AD112*$AD$119</f>
        <v>1.538730285</v>
      </c>
      <c r="N112" s="776">
        <f t="shared" ref="N112:N118" si="16">AE112*$AE$119</f>
        <v>14.251221000000001</v>
      </c>
      <c r="O112" s="777">
        <f t="shared" ref="O112:O118" si="17">AF112*$AF$119</f>
        <v>51.910176</v>
      </c>
      <c r="P112" s="930" t="s">
        <v>286</v>
      </c>
      <c r="Q112" s="931"/>
      <c r="S112" s="325"/>
      <c r="T112" s="325"/>
      <c r="U112" s="325"/>
      <c r="V112" s="325"/>
      <c r="W112" s="325"/>
      <c r="X112" s="326"/>
      <c r="Y112" s="575">
        <f>27/Y119</f>
        <v>17.307692307692307</v>
      </c>
      <c r="Z112" s="576">
        <f>17.3/Z119</f>
        <v>11.076962479190676</v>
      </c>
      <c r="AA112" s="577">
        <f>19.373</f>
        <v>19.373000000000001</v>
      </c>
      <c r="AB112" s="578">
        <f t="shared" ref="AB112:AB119" si="18">(AD112-AE112)*100/AE112</f>
        <v>-89.555009286572698</v>
      </c>
      <c r="AC112" s="579">
        <f t="shared" ref="AC112:AC119" si="19">(AD112-AF112)*100/AF112</f>
        <v>-97.361948123620309</v>
      </c>
      <c r="AD112" s="341">
        <v>0.95603000000000005</v>
      </c>
      <c r="AE112" s="335">
        <v>9.1530000000000005</v>
      </c>
      <c r="AF112" s="336">
        <v>36.24</v>
      </c>
      <c r="AG112" s="962" t="s">
        <v>286</v>
      </c>
      <c r="AH112" s="962"/>
      <c r="AI112" s="767">
        <f t="shared" si="12"/>
        <v>1.538730285</v>
      </c>
      <c r="AJ112" s="767">
        <f t="shared" si="13"/>
        <v>14.251221000000001</v>
      </c>
      <c r="AK112" s="767">
        <f t="shared" si="14"/>
        <v>51.910176</v>
      </c>
    </row>
    <row r="113" spans="3:38" ht="19.5" thickBot="1">
      <c r="C113" s="325"/>
      <c r="D113" s="325"/>
      <c r="E113" s="325"/>
      <c r="F113" s="325"/>
      <c r="G113" s="325"/>
      <c r="H113" s="325"/>
      <c r="I113" s="325"/>
      <c r="J113" s="326"/>
      <c r="K113" s="747">
        <f>M113/N113-1</f>
        <v>-0.35399837671488388</v>
      </c>
      <c r="L113" s="748">
        <f>M113/O113-1</f>
        <v>-0.11894793560369243</v>
      </c>
      <c r="M113" s="774">
        <f t="shared" si="15"/>
        <v>382.41951446100001</v>
      </c>
      <c r="N113" s="774">
        <f t="shared" si="16"/>
        <v>591.97918499999992</v>
      </c>
      <c r="O113" s="775">
        <f t="shared" si="17"/>
        <v>434.04871279999998</v>
      </c>
      <c r="P113" s="932" t="s">
        <v>287</v>
      </c>
      <c r="Q113" s="933"/>
      <c r="S113" s="325"/>
      <c r="T113" s="325"/>
      <c r="U113" s="325"/>
      <c r="V113" s="325"/>
      <c r="W113" s="325"/>
      <c r="X113" s="326"/>
      <c r="Y113" s="580">
        <f>1092/Y119</f>
        <v>700</v>
      </c>
      <c r="Z113" s="581">
        <f>972.7/Z119</f>
        <v>622.80701754385962</v>
      </c>
      <c r="AA113" s="582">
        <f>563/1.4079</f>
        <v>399.88635556502595</v>
      </c>
      <c r="AB113" s="583">
        <f t="shared" si="18"/>
        <v>-37.507019108112729</v>
      </c>
      <c r="AC113" s="584">
        <f t="shared" si="19"/>
        <v>-21.589377008930043</v>
      </c>
      <c r="AD113" s="337">
        <f>AD111-AD112</f>
        <v>237.601438</v>
      </c>
      <c r="AE113" s="337">
        <f>AE111-AE112</f>
        <v>380.20499999999998</v>
      </c>
      <c r="AF113" s="338">
        <f>AF111-AF112</f>
        <v>303.02199999999999</v>
      </c>
      <c r="AG113" s="963" t="s">
        <v>287</v>
      </c>
      <c r="AH113" s="963"/>
      <c r="AI113" s="767">
        <f t="shared" si="12"/>
        <v>382.41951446100001</v>
      </c>
      <c r="AJ113" s="767">
        <f t="shared" si="13"/>
        <v>591.97918499999992</v>
      </c>
      <c r="AK113" s="767">
        <f t="shared" si="14"/>
        <v>434.04871279999998</v>
      </c>
    </row>
    <row r="114" spans="3:38" ht="18.75">
      <c r="C114" s="325"/>
      <c r="D114" s="325"/>
      <c r="E114" s="325"/>
      <c r="F114" s="325"/>
      <c r="G114" s="325"/>
      <c r="H114" s="325"/>
      <c r="I114" s="325"/>
      <c r="J114" s="326"/>
      <c r="K114" s="745">
        <f>M114/N114-1</f>
        <v>-2.7411301033171687E-2</v>
      </c>
      <c r="L114" s="746">
        <f>M114/O114-1</f>
        <v>-0.13392686615352778</v>
      </c>
      <c r="M114" s="772">
        <f t="shared" si="15"/>
        <v>1140.8876289524999</v>
      </c>
      <c r="N114" s="772">
        <f t="shared" si="16"/>
        <v>1173.0422429999999</v>
      </c>
      <c r="O114" s="773">
        <f t="shared" si="17"/>
        <v>1317.3109571999998</v>
      </c>
      <c r="P114" s="934" t="s">
        <v>8</v>
      </c>
      <c r="Q114" s="935"/>
      <c r="S114" s="325"/>
      <c r="T114" s="325"/>
      <c r="U114" s="325"/>
      <c r="V114" s="325"/>
      <c r="W114" s="325"/>
      <c r="X114" s="326"/>
      <c r="Y114" s="415">
        <f>SUM(Y115:Y116)</f>
        <v>1257.1153846153845</v>
      </c>
      <c r="Z114" s="416">
        <f>SUM(Z115:Z116)</f>
        <v>1064.6049430144703</v>
      </c>
      <c r="AA114" s="418">
        <f>SUM(AA115:AA116)</f>
        <v>933.4</v>
      </c>
      <c r="AB114" s="585">
        <f t="shared" si="18"/>
        <v>-5.9136002304223902</v>
      </c>
      <c r="AC114" s="586">
        <f t="shared" si="19"/>
        <v>-22.922450641709425</v>
      </c>
      <c r="AD114" s="339">
        <v>708.84599500000002</v>
      </c>
      <c r="AE114" s="340">
        <v>753.399</v>
      </c>
      <c r="AF114" s="340">
        <v>919.65300000000002</v>
      </c>
      <c r="AG114" s="964" t="s">
        <v>8</v>
      </c>
      <c r="AH114" s="964"/>
      <c r="AI114" s="767">
        <f t="shared" si="12"/>
        <v>1140.8876289524999</v>
      </c>
      <c r="AJ114" s="767">
        <f t="shared" si="13"/>
        <v>1173.0422429999999</v>
      </c>
      <c r="AK114" s="767">
        <f t="shared" si="14"/>
        <v>1317.3109571999998</v>
      </c>
    </row>
    <row r="115" spans="3:38" ht="18.75">
      <c r="C115" s="325"/>
      <c r="D115" s="325"/>
      <c r="E115" s="325"/>
      <c r="F115" s="325"/>
      <c r="G115" s="325"/>
      <c r="H115" s="325"/>
      <c r="I115" s="325"/>
      <c r="J115" s="326"/>
      <c r="K115" s="747">
        <f t="shared" ref="K115:K118" si="20">M115/N115-1</f>
        <v>-2.0330663753564515E-2</v>
      </c>
      <c r="L115" s="748">
        <f t="shared" ref="L115:L118" si="21">M115/O115-1</f>
        <v>-0.1757441981259672</v>
      </c>
      <c r="M115" s="776">
        <f t="shared" si="15"/>
        <v>967.18933151099998</v>
      </c>
      <c r="N115" s="776">
        <f t="shared" si="16"/>
        <v>987.26100299999985</v>
      </c>
      <c r="O115" s="777">
        <f t="shared" si="17"/>
        <v>1173.4091883999999</v>
      </c>
      <c r="P115" s="930" t="s">
        <v>286</v>
      </c>
      <c r="Q115" s="931"/>
      <c r="S115" s="325"/>
      <c r="T115" s="325"/>
      <c r="U115" s="325"/>
      <c r="V115" s="325"/>
      <c r="W115" s="325"/>
      <c r="X115" s="326"/>
      <c r="Y115" s="575">
        <f>1713.2/Y119</f>
        <v>1098.2051282051282</v>
      </c>
      <c r="Z115" s="576">
        <f>1417/Z119</f>
        <v>907.2864643360225</v>
      </c>
      <c r="AA115" s="577">
        <f>765.4</f>
        <v>765.4</v>
      </c>
      <c r="AB115" s="578">
        <f t="shared" si="18"/>
        <v>-5.2286327098042902</v>
      </c>
      <c r="AC115" s="579">
        <f t="shared" si="19"/>
        <v>-26.644050288638425</v>
      </c>
      <c r="AD115" s="341">
        <v>600.92533800000001</v>
      </c>
      <c r="AE115" s="341">
        <v>634.07899999999995</v>
      </c>
      <c r="AF115" s="336">
        <v>819.19100000000003</v>
      </c>
      <c r="AG115" s="962" t="s">
        <v>286</v>
      </c>
      <c r="AH115" s="962"/>
      <c r="AI115" s="767">
        <f t="shared" si="12"/>
        <v>967.18933151099998</v>
      </c>
      <c r="AJ115" s="767">
        <f t="shared" si="13"/>
        <v>987.26100299999985</v>
      </c>
      <c r="AK115" s="767">
        <f t="shared" si="14"/>
        <v>1173.4091883999999</v>
      </c>
    </row>
    <row r="116" spans="3:38" ht="19.5" thickBot="1">
      <c r="C116" s="325"/>
      <c r="D116" s="325"/>
      <c r="E116" s="325"/>
      <c r="F116" s="325"/>
      <c r="G116" s="325"/>
      <c r="H116" s="325"/>
      <c r="I116" s="325"/>
      <c r="J116" s="326"/>
      <c r="K116" s="747">
        <f t="shared" si="20"/>
        <v>-6.5038550493580982E-2</v>
      </c>
      <c r="L116" s="753">
        <f t="shared" si="21"/>
        <v>0.20706158715055345</v>
      </c>
      <c r="M116" s="774">
        <f t="shared" si="15"/>
        <v>173.69829744149999</v>
      </c>
      <c r="N116" s="774">
        <f t="shared" si="16"/>
        <v>185.78124000000008</v>
      </c>
      <c r="O116" s="775">
        <f t="shared" si="17"/>
        <v>143.90176879999999</v>
      </c>
      <c r="P116" s="932" t="s">
        <v>287</v>
      </c>
      <c r="Q116" s="933"/>
      <c r="S116" s="325"/>
      <c r="T116" s="325"/>
      <c r="U116" s="325"/>
      <c r="V116" s="325"/>
      <c r="W116" s="325"/>
      <c r="X116" s="326"/>
      <c r="Y116" s="580">
        <f>247.9/Y119</f>
        <v>158.91025641025641</v>
      </c>
      <c r="Z116" s="581">
        <f>245.7/Z119</f>
        <v>157.31847867844792</v>
      </c>
      <c r="AA116" s="587">
        <f>168</f>
        <v>168</v>
      </c>
      <c r="AB116" s="588">
        <f t="shared" si="18"/>
        <v>-9.5535895072075423</v>
      </c>
      <c r="AC116" s="589">
        <f t="shared" si="19"/>
        <v>7.4243564730943215</v>
      </c>
      <c r="AD116" s="337">
        <f>AD114-AD115</f>
        <v>107.92065700000001</v>
      </c>
      <c r="AE116" s="337">
        <f>AE114-AE115</f>
        <v>119.32000000000005</v>
      </c>
      <c r="AF116" s="338">
        <f>AF114-AF115</f>
        <v>100.46199999999999</v>
      </c>
      <c r="AG116" s="963" t="s">
        <v>287</v>
      </c>
      <c r="AH116" s="963"/>
      <c r="AI116" s="767">
        <f t="shared" si="12"/>
        <v>173.69829744149999</v>
      </c>
      <c r="AJ116" s="767">
        <f t="shared" si="13"/>
        <v>185.78124000000008</v>
      </c>
      <c r="AK116" s="767">
        <f t="shared" si="14"/>
        <v>143.90176879999999</v>
      </c>
    </row>
    <row r="117" spans="3:38" ht="19.5" thickBot="1">
      <c r="C117" s="325"/>
      <c r="D117" s="325"/>
      <c r="E117" s="325"/>
      <c r="F117" s="325"/>
      <c r="G117" s="325"/>
      <c r="H117" s="325"/>
      <c r="I117" s="325"/>
      <c r="J117" s="326"/>
      <c r="K117" s="749">
        <f t="shared" si="20"/>
        <v>-3.7789397586121987E-2</v>
      </c>
      <c r="L117" s="750">
        <f t="shared" si="21"/>
        <v>-0.16563779835362236</v>
      </c>
      <c r="M117" s="768">
        <f t="shared" si="15"/>
        <v>1142.4263592375</v>
      </c>
      <c r="N117" s="768">
        <f t="shared" si="16"/>
        <v>1187.2934640000001</v>
      </c>
      <c r="O117" s="769">
        <f t="shared" si="17"/>
        <v>1369.2211331999999</v>
      </c>
      <c r="P117" s="936" t="s">
        <v>288</v>
      </c>
      <c r="Q117" s="937"/>
      <c r="S117" s="325"/>
      <c r="T117" s="325"/>
      <c r="U117" s="325"/>
      <c r="V117" s="325"/>
      <c r="W117" s="325"/>
      <c r="X117" s="326"/>
      <c r="Y117" s="419">
        <f t="shared" ref="Y117:Z117" si="22">Y114+Y112</f>
        <v>1274.4230769230769</v>
      </c>
      <c r="Z117" s="420">
        <f t="shared" si="22"/>
        <v>1075.6819054936609</v>
      </c>
      <c r="AA117" s="421">
        <f>AA114+AA112</f>
        <v>952.77300000000002</v>
      </c>
      <c r="AB117" s="590">
        <f t="shared" si="18"/>
        <v>-6.9175577534384471</v>
      </c>
      <c r="AC117" s="591">
        <f t="shared" si="19"/>
        <v>-25.74461524459327</v>
      </c>
      <c r="AD117" s="342">
        <f>AD114+AD112</f>
        <v>709.80202500000007</v>
      </c>
      <c r="AE117" s="342">
        <f>AE114+AE112</f>
        <v>762.55200000000002</v>
      </c>
      <c r="AF117" s="342">
        <f>AF114+AF112</f>
        <v>955.89300000000003</v>
      </c>
      <c r="AG117" s="975" t="s">
        <v>288</v>
      </c>
      <c r="AH117" s="975"/>
      <c r="AI117" s="767">
        <f t="shared" si="12"/>
        <v>1142.4263592375</v>
      </c>
      <c r="AJ117" s="767">
        <f t="shared" si="13"/>
        <v>1187.2934640000001</v>
      </c>
      <c r="AK117" s="767">
        <f t="shared" si="14"/>
        <v>1369.2211331999999</v>
      </c>
    </row>
    <row r="118" spans="3:38" ht="19.5" thickBot="1">
      <c r="C118" s="325"/>
      <c r="D118" s="325"/>
      <c r="E118" s="325"/>
      <c r="F118" s="325"/>
      <c r="G118" s="325"/>
      <c r="H118" s="325"/>
      <c r="I118" s="325"/>
      <c r="J118" s="326"/>
      <c r="K118" s="751">
        <f t="shared" si="20"/>
        <v>-3.2734660065417143E-2</v>
      </c>
      <c r="L118" s="752">
        <f t="shared" si="21"/>
        <v>-0.20940769407463389</v>
      </c>
      <c r="M118" s="770">
        <f t="shared" si="15"/>
        <v>968.72806179600002</v>
      </c>
      <c r="N118" s="770">
        <f t="shared" si="16"/>
        <v>1001.5122239999999</v>
      </c>
      <c r="O118" s="771">
        <f t="shared" si="17"/>
        <v>1225.3193644</v>
      </c>
      <c r="P118" s="938" t="s">
        <v>289</v>
      </c>
      <c r="Q118" s="939"/>
      <c r="S118" s="325"/>
      <c r="T118" s="325"/>
      <c r="U118" s="325"/>
      <c r="V118" s="325"/>
      <c r="W118" s="325"/>
      <c r="X118" s="326"/>
      <c r="Y118" s="419">
        <f t="shared" ref="Y118:Z118" si="23">Y115+Y112</f>
        <v>1115.5128205128206</v>
      </c>
      <c r="Z118" s="420">
        <f t="shared" si="23"/>
        <v>918.36342681521319</v>
      </c>
      <c r="AA118" s="421">
        <f>AA115+AA112</f>
        <v>784.77300000000002</v>
      </c>
      <c r="AB118" s="590">
        <f t="shared" si="18"/>
        <v>-6.4285719615939358</v>
      </c>
      <c r="AC118" s="591">
        <f t="shared" si="19"/>
        <v>-29.639986392824198</v>
      </c>
      <c r="AD118" s="342">
        <f>AD115+AD112</f>
        <v>601.88136800000007</v>
      </c>
      <c r="AE118" s="342">
        <f>AE115+AE112</f>
        <v>643.23199999999997</v>
      </c>
      <c r="AF118" s="342">
        <f>AF115+AF112</f>
        <v>855.43100000000004</v>
      </c>
      <c r="AG118" s="975" t="s">
        <v>289</v>
      </c>
      <c r="AH118" s="975"/>
      <c r="AI118" s="767">
        <f t="shared" si="12"/>
        <v>968.72806179600002</v>
      </c>
      <c r="AJ118" s="767">
        <f t="shared" si="13"/>
        <v>1001.5122239999999</v>
      </c>
      <c r="AK118" s="767">
        <f t="shared" si="14"/>
        <v>1225.3193644</v>
      </c>
    </row>
    <row r="119" spans="3:38" ht="19.5" thickBot="1">
      <c r="C119" s="325"/>
      <c r="D119" s="325"/>
      <c r="E119" s="325"/>
      <c r="F119" s="325"/>
      <c r="G119" s="325"/>
      <c r="H119" s="325"/>
      <c r="I119" s="325"/>
      <c r="J119" s="326"/>
      <c r="K119" s="778">
        <f>M119/N119-1</f>
        <v>3.3718689788053924E-2</v>
      </c>
      <c r="L119" s="778">
        <f>M119/O119-1</f>
        <v>0.12363864842222849</v>
      </c>
      <c r="M119" s="779">
        <v>1.6094999999999999</v>
      </c>
      <c r="N119" s="779">
        <v>1.5569999999999999</v>
      </c>
      <c r="O119" s="780">
        <v>1.4323999999999999</v>
      </c>
      <c r="P119" s="940" t="s">
        <v>290</v>
      </c>
      <c r="Q119" s="941"/>
      <c r="S119" s="325"/>
      <c r="T119" s="325"/>
      <c r="U119" s="325"/>
      <c r="V119" s="325"/>
      <c r="W119" s="325"/>
      <c r="X119" s="326"/>
      <c r="Y119" s="422">
        <v>1.56</v>
      </c>
      <c r="Z119" s="423">
        <v>1.5618000000000001</v>
      </c>
      <c r="AA119" s="424">
        <v>1.4078999999999999</v>
      </c>
      <c r="AB119" s="343">
        <f t="shared" si="18"/>
        <v>3.3718689788053946</v>
      </c>
      <c r="AC119" s="344">
        <f t="shared" si="19"/>
        <v>12.363864842222847</v>
      </c>
      <c r="AD119" s="345">
        <v>1.6094999999999999</v>
      </c>
      <c r="AE119" s="345">
        <v>1.5569999999999999</v>
      </c>
      <c r="AF119" s="346">
        <v>1.4323999999999999</v>
      </c>
      <c r="AG119" s="974" t="s">
        <v>290</v>
      </c>
      <c r="AH119" s="974"/>
      <c r="AJ119" s="744"/>
      <c r="AK119" s="744"/>
      <c r="AL119" s="744"/>
    </row>
    <row r="120" spans="3:38" ht="18.75">
      <c r="C120" s="325"/>
      <c r="D120" s="325"/>
      <c r="E120" s="325"/>
      <c r="F120" s="325"/>
      <c r="G120" s="325"/>
      <c r="H120" s="325"/>
      <c r="I120" s="325"/>
      <c r="J120" s="326"/>
      <c r="K120" s="942"/>
      <c r="L120" s="942"/>
      <c r="M120" s="942"/>
      <c r="N120" s="942"/>
      <c r="O120" s="942"/>
      <c r="P120" s="942"/>
      <c r="Q120" s="942"/>
      <c r="S120" s="325"/>
      <c r="T120" s="325"/>
      <c r="U120" s="325"/>
      <c r="V120" s="325"/>
      <c r="W120" s="325"/>
      <c r="X120" s="326"/>
      <c r="Y120" s="942" t="s">
        <v>314</v>
      </c>
      <c r="Z120" s="942"/>
      <c r="AA120" s="942"/>
      <c r="AB120" s="942"/>
      <c r="AC120" s="942"/>
      <c r="AD120" s="942"/>
      <c r="AE120" s="942"/>
      <c r="AF120" s="942"/>
      <c r="AG120" s="942"/>
      <c r="AH120" s="942"/>
      <c r="AJ120" s="744"/>
      <c r="AK120" s="744"/>
      <c r="AL120" s="744"/>
    </row>
    <row r="121" spans="3:38" ht="26.25" thickBot="1">
      <c r="C121" s="325"/>
      <c r="D121" s="325"/>
      <c r="E121" s="325"/>
      <c r="F121" s="325"/>
      <c r="G121" s="325"/>
      <c r="H121" s="325"/>
      <c r="I121" s="325"/>
      <c r="J121" s="326"/>
      <c r="K121" s="327"/>
      <c r="L121" s="463"/>
      <c r="M121" s="327"/>
      <c r="N121" s="327"/>
      <c r="O121" s="327"/>
      <c r="P121" s="929"/>
      <c r="Q121" s="929"/>
      <c r="R121" t="s">
        <v>350</v>
      </c>
      <c r="S121" s="325"/>
      <c r="T121" s="325"/>
      <c r="U121" s="325"/>
      <c r="V121" s="325"/>
      <c r="W121" s="325"/>
      <c r="X121" s="326"/>
      <c r="Y121" s="969" t="s">
        <v>315</v>
      </c>
      <c r="Z121" s="969"/>
      <c r="AA121" s="363"/>
      <c r="AB121" s="327"/>
      <c r="AC121" s="327"/>
      <c r="AD121" s="327"/>
      <c r="AE121" s="327"/>
      <c r="AF121" s="327"/>
      <c r="AG121" s="929" t="s">
        <v>291</v>
      </c>
      <c r="AH121" s="929"/>
    </row>
    <row r="122" spans="3:38" ht="19.5" customHeight="1" thickBot="1">
      <c r="C122" s="325"/>
      <c r="D122" s="325"/>
      <c r="E122" s="325"/>
      <c r="F122" s="325"/>
      <c r="G122" s="325"/>
      <c r="H122" s="325"/>
      <c r="I122" s="325"/>
      <c r="J122" s="326"/>
      <c r="K122" s="906" t="s">
        <v>296</v>
      </c>
      <c r="L122" s="907"/>
      <c r="M122" s="908" t="s">
        <v>349</v>
      </c>
      <c r="N122" s="909"/>
      <c r="O122" s="910"/>
      <c r="P122" s="911" t="s">
        <v>394</v>
      </c>
      <c r="Q122" s="912"/>
      <c r="S122" s="325"/>
      <c r="T122" s="325"/>
      <c r="U122" s="325"/>
      <c r="V122" s="325"/>
      <c r="W122" s="325"/>
      <c r="X122" s="326"/>
      <c r="Y122" s="885" t="s">
        <v>307</v>
      </c>
      <c r="Z122" s="886"/>
      <c r="AA122" s="887"/>
      <c r="AB122" s="889" t="s">
        <v>308</v>
      </c>
      <c r="AC122" s="890"/>
      <c r="AD122" s="966" t="s">
        <v>349</v>
      </c>
      <c r="AE122" s="886"/>
      <c r="AF122" s="887"/>
      <c r="AG122" s="967" t="s">
        <v>316</v>
      </c>
      <c r="AH122" s="967"/>
    </row>
    <row r="123" spans="3:38" ht="15.75" customHeight="1" thickBot="1">
      <c r="C123" s="325"/>
      <c r="D123" s="325"/>
      <c r="E123" s="325"/>
      <c r="F123" s="325"/>
      <c r="G123" s="325"/>
      <c r="H123" s="325"/>
      <c r="I123" s="325"/>
      <c r="J123" s="326"/>
      <c r="K123" s="328" t="s">
        <v>181</v>
      </c>
      <c r="L123" s="329" t="s">
        <v>225</v>
      </c>
      <c r="M123" s="330">
        <v>2013</v>
      </c>
      <c r="N123" s="331">
        <v>2012</v>
      </c>
      <c r="O123" s="332">
        <v>2010</v>
      </c>
      <c r="P123" s="913"/>
      <c r="Q123" s="914"/>
      <c r="S123" s="325"/>
      <c r="T123" s="325"/>
      <c r="U123" s="325"/>
      <c r="V123" s="325"/>
      <c r="W123" s="325"/>
      <c r="X123" s="326"/>
      <c r="Y123" s="407" t="s">
        <v>310</v>
      </c>
      <c r="Z123" s="408" t="s">
        <v>311</v>
      </c>
      <c r="AA123" s="409">
        <v>2011</v>
      </c>
      <c r="AB123" s="410" t="s">
        <v>312</v>
      </c>
      <c r="AC123" s="411" t="s">
        <v>313</v>
      </c>
      <c r="AD123" s="412">
        <v>2013</v>
      </c>
      <c r="AE123" s="413">
        <v>2012</v>
      </c>
      <c r="AF123" s="414">
        <v>2010</v>
      </c>
      <c r="AG123" s="967"/>
      <c r="AH123" s="967"/>
    </row>
    <row r="124" spans="3:38" ht="15.75" thickBot="1">
      <c r="C124" s="325"/>
      <c r="D124" s="325"/>
      <c r="E124" s="325"/>
      <c r="F124" s="325"/>
      <c r="G124" s="325"/>
      <c r="H124" s="325"/>
      <c r="I124" s="325"/>
      <c r="J124" s="326"/>
      <c r="K124" s="471">
        <f>(M124-N124)*100/N124</f>
        <v>-34.113736085011432</v>
      </c>
      <c r="L124" s="428">
        <f>(M124-O124)*100/O124</f>
        <v>-61.489197538098061</v>
      </c>
      <c r="M124" s="426">
        <v>2053.8870000000002</v>
      </c>
      <c r="N124" s="429">
        <v>3117.3220000000001</v>
      </c>
      <c r="O124" s="430">
        <v>5333.2749999999996</v>
      </c>
      <c r="P124" s="927" t="s">
        <v>285</v>
      </c>
      <c r="Q124" s="928"/>
      <c r="S124" s="325"/>
      <c r="T124" s="325"/>
      <c r="U124" s="325"/>
      <c r="V124" s="325"/>
      <c r="W124" s="325"/>
      <c r="X124" s="326"/>
      <c r="Y124" s="425">
        <v>4000</v>
      </c>
      <c r="Z124" s="426">
        <v>2762</v>
      </c>
      <c r="AA124" s="427">
        <v>2509.1480000000001</v>
      </c>
      <c r="AB124" s="471">
        <f>(AD124-AE124)*100/AE124</f>
        <v>-34.113736085011432</v>
      </c>
      <c r="AC124" s="472">
        <f>(AD124-AF124)*100/AF124</f>
        <v>-61.489197538098061</v>
      </c>
      <c r="AD124" s="426">
        <v>2053.8870000000002</v>
      </c>
      <c r="AE124" s="429">
        <v>3117.3220000000001</v>
      </c>
      <c r="AF124" s="430">
        <v>5333.2749999999996</v>
      </c>
      <c r="AG124" s="974" t="s">
        <v>285</v>
      </c>
      <c r="AH124" s="974"/>
    </row>
    <row r="125" spans="3:38">
      <c r="C125" s="325"/>
      <c r="D125" s="325"/>
      <c r="E125" s="325"/>
      <c r="F125" s="325"/>
      <c r="G125" s="325"/>
      <c r="H125" s="325"/>
      <c r="I125" s="325"/>
      <c r="J125" s="326"/>
      <c r="K125" s="347"/>
      <c r="L125" s="348"/>
      <c r="M125" s="349"/>
      <c r="N125" s="350"/>
      <c r="O125" s="351"/>
      <c r="P125" s="898" t="s">
        <v>8</v>
      </c>
      <c r="Q125" s="899"/>
      <c r="S125" s="325"/>
      <c r="T125" s="325"/>
      <c r="U125" s="325"/>
      <c r="V125" s="325"/>
      <c r="W125" s="325"/>
      <c r="X125" s="326"/>
      <c r="Y125" s="431"/>
      <c r="Z125" s="432"/>
      <c r="AA125" s="433"/>
      <c r="AB125" s="347"/>
      <c r="AC125" s="348"/>
      <c r="AD125" s="349"/>
      <c r="AE125" s="350"/>
      <c r="AF125" s="351"/>
      <c r="AG125" s="964" t="s">
        <v>8</v>
      </c>
      <c r="AH125" s="964"/>
    </row>
    <row r="126" spans="3:38">
      <c r="C126" s="325"/>
      <c r="D126" s="325"/>
      <c r="E126" s="325"/>
      <c r="F126" s="325"/>
      <c r="G126" s="325"/>
      <c r="H126" s="325"/>
      <c r="I126" s="325"/>
      <c r="J126" s="326"/>
      <c r="K126" s="352">
        <f>(M126-N126)*100/N126</f>
        <v>5.236890154593647</v>
      </c>
      <c r="L126" s="353">
        <f>(M126-O126)*100/O126</f>
        <v>-38.882685137218033</v>
      </c>
      <c r="M126" s="354">
        <v>477.80599999999998</v>
      </c>
      <c r="N126" s="355">
        <v>454.029</v>
      </c>
      <c r="O126" s="356">
        <v>781.78499999999997</v>
      </c>
      <c r="P126" s="900" t="s">
        <v>14</v>
      </c>
      <c r="Q126" s="901"/>
      <c r="S126" s="325"/>
      <c r="T126" s="325"/>
      <c r="U126" s="325"/>
      <c r="V126" s="325"/>
      <c r="W126" s="325"/>
      <c r="X126" s="326"/>
      <c r="Y126" s="434">
        <v>985</v>
      </c>
      <c r="Z126" s="435">
        <v>768</v>
      </c>
      <c r="AA126" s="436">
        <v>518.21900000000005</v>
      </c>
      <c r="AB126" s="352">
        <f t="shared" ref="AB126:AB130" si="24">(AD126-AE126)*100/AE126</f>
        <v>5.236890154593647</v>
      </c>
      <c r="AC126" s="592">
        <f t="shared" ref="AC126:AC130" si="25">(AD126-AF126)*100/AF126</f>
        <v>-38.882685137218033</v>
      </c>
      <c r="AD126" s="354">
        <v>477.80599999999998</v>
      </c>
      <c r="AE126" s="355">
        <v>454.029</v>
      </c>
      <c r="AF126" s="356">
        <v>781.78499999999997</v>
      </c>
      <c r="AG126" s="973" t="s">
        <v>14</v>
      </c>
      <c r="AH126" s="973"/>
    </row>
    <row r="127" spans="3:38">
      <c r="C127" s="325"/>
      <c r="D127" s="325"/>
      <c r="E127" s="325"/>
      <c r="F127" s="325"/>
      <c r="G127" s="325"/>
      <c r="H127" s="325"/>
      <c r="I127" s="325"/>
      <c r="J127" s="326"/>
      <c r="K127" s="352">
        <f>(M127-N127)*100/N127</f>
        <v>23.135542486882407</v>
      </c>
      <c r="L127" s="353">
        <f>(M127-O127)*100/O127</f>
        <v>-31.32048789110836</v>
      </c>
      <c r="M127" s="354">
        <v>349.66800000000001</v>
      </c>
      <c r="N127" s="355">
        <v>283.97000000000003</v>
      </c>
      <c r="O127" s="356">
        <v>509.13</v>
      </c>
      <c r="P127" s="900" t="s">
        <v>292</v>
      </c>
      <c r="Q127" s="901"/>
      <c r="S127" s="325"/>
      <c r="T127" s="325"/>
      <c r="U127" s="325"/>
      <c r="V127" s="325"/>
      <c r="W127" s="325"/>
      <c r="X127" s="326"/>
      <c r="Y127" s="434">
        <v>665</v>
      </c>
      <c r="Z127" s="435">
        <v>499</v>
      </c>
      <c r="AA127" s="436">
        <v>406.279</v>
      </c>
      <c r="AB127" s="352">
        <f t="shared" si="24"/>
        <v>23.135542486882407</v>
      </c>
      <c r="AC127" s="592">
        <f t="shared" si="25"/>
        <v>-31.32048789110836</v>
      </c>
      <c r="AD127" s="354">
        <v>349.66800000000001</v>
      </c>
      <c r="AE127" s="355">
        <v>283.97000000000003</v>
      </c>
      <c r="AF127" s="356">
        <v>509.13</v>
      </c>
      <c r="AG127" s="973" t="s">
        <v>292</v>
      </c>
      <c r="AH127" s="973"/>
    </row>
    <row r="128" spans="3:38">
      <c r="C128" s="325"/>
      <c r="D128" s="325"/>
      <c r="E128" s="325"/>
      <c r="F128" s="325"/>
      <c r="G128" s="325"/>
      <c r="H128" s="325"/>
      <c r="I128" s="325"/>
      <c r="J128" s="326"/>
      <c r="K128" s="352">
        <f>(M128-N128)*100/N128</f>
        <v>28.121034695283324</v>
      </c>
      <c r="L128" s="353">
        <f>(M128-O128)*100/O128</f>
        <v>-27.56418139892391</v>
      </c>
      <c r="M128" s="354">
        <v>565.43399999999997</v>
      </c>
      <c r="N128" s="355">
        <v>441.32799999999997</v>
      </c>
      <c r="O128" s="356">
        <v>780.6</v>
      </c>
      <c r="P128" s="900" t="s">
        <v>16</v>
      </c>
      <c r="Q128" s="901"/>
      <c r="S128" s="325"/>
      <c r="T128" s="325"/>
      <c r="U128" s="325"/>
      <c r="V128" s="325"/>
      <c r="W128" s="325"/>
      <c r="X128" s="326"/>
      <c r="Y128" s="434">
        <v>900</v>
      </c>
      <c r="Z128" s="435">
        <v>655</v>
      </c>
      <c r="AA128" s="436">
        <v>428.42</v>
      </c>
      <c r="AB128" s="352">
        <f t="shared" si="24"/>
        <v>28.121034695283324</v>
      </c>
      <c r="AC128" s="592">
        <f t="shared" si="25"/>
        <v>-27.56418139892391</v>
      </c>
      <c r="AD128" s="354">
        <v>565.43399999999997</v>
      </c>
      <c r="AE128" s="355">
        <v>441.32799999999997</v>
      </c>
      <c r="AF128" s="356">
        <v>780.6</v>
      </c>
      <c r="AG128" s="973" t="s">
        <v>16</v>
      </c>
      <c r="AH128" s="973"/>
    </row>
    <row r="129" spans="3:34">
      <c r="C129" s="325"/>
      <c r="D129" s="325"/>
      <c r="E129" s="325"/>
      <c r="F129" s="325"/>
      <c r="G129" s="325"/>
      <c r="H129" s="325"/>
      <c r="I129" s="325"/>
      <c r="J129" s="326"/>
      <c r="K129" s="464">
        <f>(M129-N129)*100/N129</f>
        <v>-11.395410182010007</v>
      </c>
      <c r="L129" s="353">
        <f>(M129-O129)*100/O129</f>
        <v>-35.872470408552878</v>
      </c>
      <c r="M129" s="354">
        <v>33.590000000000003</v>
      </c>
      <c r="N129" s="355">
        <v>37.909999999999997</v>
      </c>
      <c r="O129" s="356">
        <v>52.38</v>
      </c>
      <c r="P129" s="915" t="s">
        <v>17</v>
      </c>
      <c r="Q129" s="916"/>
      <c r="S129" s="325"/>
      <c r="T129" s="325"/>
      <c r="U129" s="325"/>
      <c r="V129" s="325"/>
      <c r="W129" s="325"/>
      <c r="X129" s="326"/>
      <c r="Y129" s="434">
        <v>67</v>
      </c>
      <c r="Z129" s="435">
        <v>59</v>
      </c>
      <c r="AA129" s="436">
        <v>54.68</v>
      </c>
      <c r="AB129" s="464">
        <f t="shared" si="24"/>
        <v>-11.395410182010007</v>
      </c>
      <c r="AC129" s="592">
        <f t="shared" si="25"/>
        <v>-35.872470408552878</v>
      </c>
      <c r="AD129" s="354">
        <v>33.590000000000003</v>
      </c>
      <c r="AE129" s="355">
        <v>37.909999999999997</v>
      </c>
      <c r="AF129" s="356">
        <v>52.38</v>
      </c>
      <c r="AG129" s="973" t="s">
        <v>17</v>
      </c>
      <c r="AH129" s="973"/>
    </row>
    <row r="130" spans="3:34" ht="15.75" thickBot="1">
      <c r="C130" s="325"/>
      <c r="D130" s="325"/>
      <c r="E130" s="325"/>
      <c r="F130" s="325"/>
      <c r="G130" s="325"/>
      <c r="H130" s="325"/>
      <c r="I130" s="325"/>
      <c r="J130" s="326"/>
      <c r="K130" s="357">
        <f>(M130-N130)*100/N130</f>
        <v>1.6432618871643125</v>
      </c>
      <c r="L130" s="358">
        <f>(M130-O130)*100/O130</f>
        <v>-14.608299699886164</v>
      </c>
      <c r="M130" s="440">
        <v>82.513999999999996</v>
      </c>
      <c r="N130" s="441">
        <v>81.180000000000007</v>
      </c>
      <c r="O130" s="442">
        <v>96.63</v>
      </c>
      <c r="P130" s="917" t="s">
        <v>293</v>
      </c>
      <c r="Q130" s="918"/>
      <c r="S130" s="325"/>
      <c r="T130" s="325"/>
      <c r="U130" s="325"/>
      <c r="V130" s="325"/>
      <c r="W130" s="325"/>
      <c r="X130" s="326"/>
      <c r="Y130" s="437">
        <v>110</v>
      </c>
      <c r="Z130" s="438">
        <v>117</v>
      </c>
      <c r="AA130" s="439">
        <v>82.674999999999997</v>
      </c>
      <c r="AB130" s="357">
        <f t="shared" si="24"/>
        <v>1.6432618871643125</v>
      </c>
      <c r="AC130" s="593">
        <f t="shared" si="25"/>
        <v>-14.608299699886164</v>
      </c>
      <c r="AD130" s="440">
        <v>82.513999999999996</v>
      </c>
      <c r="AE130" s="441">
        <v>81.180000000000007</v>
      </c>
      <c r="AF130" s="442">
        <v>96.63</v>
      </c>
      <c r="AG130" s="976" t="s">
        <v>293</v>
      </c>
      <c r="AH130" s="976"/>
    </row>
    <row r="131" spans="3:34">
      <c r="C131" s="359"/>
      <c r="D131" s="359"/>
      <c r="E131" s="359"/>
      <c r="F131" s="359"/>
      <c r="G131" s="359"/>
      <c r="H131" s="359"/>
      <c r="I131" s="359"/>
      <c r="J131" s="360"/>
      <c r="K131" s="361"/>
      <c r="L131" s="361"/>
      <c r="M131" s="361"/>
      <c r="N131" s="361"/>
      <c r="O131" s="361"/>
      <c r="P131" s="362"/>
      <c r="Q131" s="362"/>
      <c r="S131" s="359"/>
      <c r="T131" s="359"/>
      <c r="U131" s="359"/>
      <c r="V131" s="359"/>
      <c r="W131" s="359"/>
      <c r="X131" s="360"/>
      <c r="Y131" s="362"/>
      <c r="Z131" s="361"/>
      <c r="AA131" s="361"/>
      <c r="AB131" s="361"/>
      <c r="AC131" s="361"/>
      <c r="AD131" s="361"/>
      <c r="AE131" s="361"/>
      <c r="AF131" s="361"/>
      <c r="AG131" s="362"/>
      <c r="AH131" s="362"/>
    </row>
    <row r="132" spans="3:34">
      <c r="C132" s="325"/>
      <c r="D132" s="325"/>
      <c r="E132" s="325"/>
      <c r="F132" s="325"/>
      <c r="G132" s="325"/>
      <c r="H132" s="325"/>
      <c r="I132" s="325"/>
      <c r="J132" s="326"/>
      <c r="K132" s="363"/>
      <c r="L132" s="363"/>
      <c r="M132" s="363"/>
      <c r="N132" s="363"/>
      <c r="O132" s="363"/>
      <c r="P132" s="364"/>
      <c r="Q132" s="364"/>
      <c r="S132" s="325"/>
      <c r="T132" s="325"/>
      <c r="U132" s="325"/>
      <c r="V132" s="325"/>
      <c r="W132" s="325"/>
      <c r="X132" s="326"/>
      <c r="Y132" s="364"/>
      <c r="Z132" s="363"/>
      <c r="AA132" s="363"/>
      <c r="AB132" s="363"/>
      <c r="AC132" s="363"/>
      <c r="AD132" s="363"/>
      <c r="AE132" s="363"/>
      <c r="AF132" s="363"/>
      <c r="AG132" s="364"/>
      <c r="AH132" s="364"/>
    </row>
    <row r="133" spans="3:34">
      <c r="C133" s="365"/>
      <c r="D133" s="365"/>
      <c r="E133" s="365"/>
      <c r="F133" s="365"/>
      <c r="G133" s="365"/>
      <c r="H133" s="365"/>
      <c r="I133" s="365"/>
      <c r="J133" s="366"/>
      <c r="K133" s="363"/>
      <c r="L133" s="363"/>
      <c r="M133" s="363"/>
      <c r="N133" s="363"/>
      <c r="O133" s="363"/>
      <c r="P133" s="364"/>
      <c r="Q133" s="364"/>
      <c r="S133" s="365"/>
      <c r="T133" s="365"/>
      <c r="U133" s="365"/>
      <c r="V133" s="365"/>
      <c r="W133" s="365"/>
      <c r="X133" s="366"/>
      <c r="Y133" s="364"/>
      <c r="Z133" s="363"/>
      <c r="AA133" s="363"/>
      <c r="AB133" s="363"/>
      <c r="AC133" s="363"/>
      <c r="AD133" s="363"/>
      <c r="AE133" s="363"/>
      <c r="AF133" s="363"/>
      <c r="AG133" s="364"/>
      <c r="AH133" s="364"/>
    </row>
    <row r="134" spans="3:34" ht="15.75">
      <c r="C134" s="323"/>
      <c r="D134" s="323"/>
      <c r="E134" s="323"/>
      <c r="F134" s="323"/>
      <c r="G134" s="323"/>
      <c r="H134" s="323"/>
      <c r="I134" s="323"/>
      <c r="J134" s="324"/>
      <c r="K134" s="367"/>
      <c r="L134" s="367"/>
      <c r="M134" s="367"/>
      <c r="N134" s="367"/>
      <c r="O134" s="367"/>
      <c r="P134" s="919"/>
      <c r="Q134" s="919"/>
      <c r="S134" s="323"/>
      <c r="T134" s="323"/>
      <c r="U134" s="323"/>
      <c r="V134" s="323"/>
      <c r="W134" s="323"/>
      <c r="X134" s="324"/>
      <c r="Y134" s="443"/>
      <c r="Z134" s="367"/>
      <c r="AA134" s="367"/>
      <c r="AB134" s="367"/>
      <c r="AC134" s="367"/>
      <c r="AD134" s="367"/>
      <c r="AE134" s="367"/>
      <c r="AF134" s="367"/>
      <c r="AG134" s="919" t="s">
        <v>294</v>
      </c>
      <c r="AH134" s="919"/>
    </row>
    <row r="135" spans="3:34" ht="26.25" thickBot="1">
      <c r="C135" s="325"/>
      <c r="D135" s="325"/>
      <c r="E135" s="325"/>
      <c r="F135" s="325"/>
      <c r="G135" s="325"/>
      <c r="H135" s="325"/>
      <c r="I135" s="325"/>
      <c r="J135" s="326"/>
      <c r="K135" s="327"/>
      <c r="L135" s="327"/>
      <c r="M135" s="920"/>
      <c r="N135" s="920"/>
      <c r="O135" s="920"/>
      <c r="P135" s="920"/>
      <c r="Q135" s="920"/>
      <c r="S135" s="325"/>
      <c r="T135" s="325"/>
      <c r="U135" s="325"/>
      <c r="V135" s="325"/>
      <c r="W135" s="325"/>
      <c r="X135" s="326"/>
      <c r="Y135" s="981" t="s">
        <v>315</v>
      </c>
      <c r="Z135" s="981"/>
      <c r="AA135" s="364"/>
      <c r="AB135" s="327"/>
      <c r="AC135" s="327"/>
      <c r="AD135" s="982" t="s">
        <v>317</v>
      </c>
      <c r="AE135" s="982"/>
      <c r="AF135" s="982"/>
      <c r="AG135" s="982"/>
      <c r="AH135" s="982"/>
    </row>
    <row r="136" spans="3:34" ht="19.5" customHeight="1" thickBot="1">
      <c r="C136" s="325"/>
      <c r="D136" s="325"/>
      <c r="E136" s="325"/>
      <c r="F136" s="325"/>
      <c r="G136" s="325"/>
      <c r="H136" s="325"/>
      <c r="I136" s="325"/>
      <c r="J136" s="326"/>
      <c r="K136" s="921" t="s">
        <v>296</v>
      </c>
      <c r="L136" s="922"/>
      <c r="M136" s="908" t="s">
        <v>349</v>
      </c>
      <c r="N136" s="909"/>
      <c r="O136" s="910"/>
      <c r="P136" s="923" t="s">
        <v>395</v>
      </c>
      <c r="Q136" s="924"/>
      <c r="S136" s="325"/>
      <c r="T136" s="325"/>
      <c r="U136" s="325"/>
      <c r="V136" s="325"/>
      <c r="W136" s="325"/>
      <c r="X136" s="326"/>
      <c r="Y136" s="885" t="s">
        <v>307</v>
      </c>
      <c r="Z136" s="886"/>
      <c r="AA136" s="887"/>
      <c r="AB136" s="889" t="s">
        <v>308</v>
      </c>
      <c r="AC136" s="890"/>
      <c r="AD136" s="966" t="s">
        <v>349</v>
      </c>
      <c r="AE136" s="886"/>
      <c r="AF136" s="887"/>
      <c r="AG136" s="967" t="s">
        <v>316</v>
      </c>
      <c r="AH136" s="967"/>
    </row>
    <row r="137" spans="3:34" ht="15.75" customHeight="1" thickBot="1">
      <c r="C137" s="325"/>
      <c r="D137" s="325"/>
      <c r="E137" s="325"/>
      <c r="F137" s="325"/>
      <c r="G137" s="325"/>
      <c r="H137" s="325"/>
      <c r="I137" s="325"/>
      <c r="J137" s="326"/>
      <c r="K137" s="465" t="s">
        <v>181</v>
      </c>
      <c r="L137" s="466" t="s">
        <v>225</v>
      </c>
      <c r="M137" s="467">
        <v>2013</v>
      </c>
      <c r="N137" s="468">
        <v>2012</v>
      </c>
      <c r="O137" s="469">
        <v>2010</v>
      </c>
      <c r="P137" s="925"/>
      <c r="Q137" s="926"/>
      <c r="S137" s="325"/>
      <c r="T137" s="325"/>
      <c r="U137" s="325"/>
      <c r="V137" s="325"/>
      <c r="W137" s="325"/>
      <c r="X137" s="326"/>
      <c r="Y137" s="407" t="s">
        <v>310</v>
      </c>
      <c r="Z137" s="408" t="s">
        <v>311</v>
      </c>
      <c r="AA137" s="409">
        <v>2011</v>
      </c>
      <c r="AB137" s="410" t="s">
        <v>312</v>
      </c>
      <c r="AC137" s="411" t="s">
        <v>313</v>
      </c>
      <c r="AD137" s="412">
        <v>2013</v>
      </c>
      <c r="AE137" s="413">
        <v>2012</v>
      </c>
      <c r="AF137" s="414">
        <v>2010</v>
      </c>
      <c r="AG137" s="967"/>
      <c r="AH137" s="967"/>
    </row>
    <row r="138" spans="3:34" ht="15.75" thickBot="1">
      <c r="C138" s="325"/>
      <c r="D138" s="325"/>
      <c r="E138" s="325"/>
      <c r="F138" s="325"/>
      <c r="G138" s="325"/>
      <c r="H138" s="325"/>
      <c r="I138" s="325"/>
      <c r="J138" s="326"/>
      <c r="K138" s="475">
        <f>(M138-N138)*100/N138</f>
        <v>-89.046759537804107</v>
      </c>
      <c r="L138" s="348">
        <f>(M138-O138)*100/O138</f>
        <v>-98.156370907013581</v>
      </c>
      <c r="M138" s="620">
        <v>7.1</v>
      </c>
      <c r="N138" s="621">
        <v>64.820999999999998</v>
      </c>
      <c r="O138" s="622">
        <v>385.11</v>
      </c>
      <c r="P138" s="927" t="s">
        <v>285</v>
      </c>
      <c r="Q138" s="928"/>
      <c r="S138" s="325"/>
      <c r="T138" s="325"/>
      <c r="U138" s="325"/>
      <c r="V138" s="325"/>
      <c r="W138" s="325"/>
      <c r="X138" s="326"/>
      <c r="Y138" s="425">
        <v>140</v>
      </c>
      <c r="Z138" s="444">
        <v>81</v>
      </c>
      <c r="AA138" s="445">
        <v>149</v>
      </c>
      <c r="AB138" s="475">
        <f>(AD138-AE138)*100/AE138</f>
        <v>-89.046759537804107</v>
      </c>
      <c r="AC138" s="476">
        <f>(AD138-AF138)*100/AF138</f>
        <v>-98.156370907013581</v>
      </c>
      <c r="AD138" s="349">
        <v>7.1</v>
      </c>
      <c r="AE138" s="350">
        <v>64.820999999999998</v>
      </c>
      <c r="AF138" s="351">
        <v>385.11</v>
      </c>
      <c r="AG138" s="974" t="s">
        <v>285</v>
      </c>
      <c r="AH138" s="974"/>
    </row>
    <row r="139" spans="3:34">
      <c r="C139" s="325"/>
      <c r="D139" s="325"/>
      <c r="E139" s="325"/>
      <c r="F139" s="325"/>
      <c r="G139" s="325"/>
      <c r="H139" s="325"/>
      <c r="I139" s="325"/>
      <c r="J139" s="326"/>
      <c r="K139" s="347"/>
      <c r="L139" s="348"/>
      <c r="M139" s="620"/>
      <c r="N139" s="621"/>
      <c r="O139" s="622"/>
      <c r="P139" s="898" t="s">
        <v>8</v>
      </c>
      <c r="Q139" s="899"/>
      <c r="S139" s="325"/>
      <c r="T139" s="325"/>
      <c r="U139" s="325"/>
      <c r="V139" s="325"/>
      <c r="W139" s="325"/>
      <c r="X139" s="326"/>
      <c r="Y139" s="446"/>
      <c r="Z139" s="432"/>
      <c r="AA139" s="447"/>
      <c r="AB139" s="347"/>
      <c r="AC139" s="476"/>
      <c r="AD139" s="349"/>
      <c r="AE139" s="350"/>
      <c r="AF139" s="351"/>
      <c r="AG139" s="964" t="s">
        <v>8</v>
      </c>
      <c r="AH139" s="964"/>
    </row>
    <row r="140" spans="3:34">
      <c r="C140" s="325"/>
      <c r="D140" s="325"/>
      <c r="E140" s="325"/>
      <c r="F140" s="325"/>
      <c r="G140" s="325"/>
      <c r="H140" s="325"/>
      <c r="I140" s="325"/>
      <c r="J140" s="326"/>
      <c r="K140" s="352">
        <f>(M140-N140)*100/N140</f>
        <v>2.0196518937073105</v>
      </c>
      <c r="L140" s="353">
        <f>(M140-O140)*100/O140</f>
        <v>-49.908495566840024</v>
      </c>
      <c r="M140" s="623">
        <v>179.828</v>
      </c>
      <c r="N140" s="624">
        <v>176.268</v>
      </c>
      <c r="O140" s="625">
        <v>358.99900000000002</v>
      </c>
      <c r="P140" s="891" t="s">
        <v>14</v>
      </c>
      <c r="Q140" s="892"/>
      <c r="S140" s="325"/>
      <c r="T140" s="325"/>
      <c r="U140" s="325"/>
      <c r="V140" s="325"/>
      <c r="W140" s="325"/>
      <c r="X140" s="326"/>
      <c r="Y140" s="448">
        <v>490</v>
      </c>
      <c r="Z140" s="435">
        <v>360</v>
      </c>
      <c r="AA140" s="449">
        <v>249.673</v>
      </c>
      <c r="AB140" s="352">
        <f t="shared" ref="AB140:AB144" si="26">(AD140-AE140)*100/AE140</f>
        <v>2.0196518937073105</v>
      </c>
      <c r="AC140" s="592">
        <f t="shared" ref="AC140:AC144" si="27">(AD140-AF140)*100/AF140</f>
        <v>-49.908495566840024</v>
      </c>
      <c r="AD140" s="594">
        <v>179.828</v>
      </c>
      <c r="AE140" s="595">
        <v>176.268</v>
      </c>
      <c r="AF140" s="596">
        <v>358.99900000000002</v>
      </c>
      <c r="AG140" s="973" t="s">
        <v>14</v>
      </c>
      <c r="AH140" s="973"/>
    </row>
    <row r="141" spans="3:34">
      <c r="C141" s="325"/>
      <c r="D141" s="325"/>
      <c r="E141" s="325"/>
      <c r="F141" s="325"/>
      <c r="G141" s="325"/>
      <c r="H141" s="325"/>
      <c r="I141" s="325"/>
      <c r="J141" s="326"/>
      <c r="K141" s="464">
        <f>(M141-N141)*100/N141</f>
        <v>-7.6300246227284383</v>
      </c>
      <c r="L141" s="353">
        <f>(M141-O141)*100/O141</f>
        <v>-35.387339942390888</v>
      </c>
      <c r="M141" s="623">
        <v>305.74</v>
      </c>
      <c r="N141" s="624">
        <v>330.995</v>
      </c>
      <c r="O141" s="625">
        <v>473.18900000000002</v>
      </c>
      <c r="P141" s="902" t="s">
        <v>292</v>
      </c>
      <c r="Q141" s="903"/>
      <c r="S141" s="325"/>
      <c r="T141" s="325"/>
      <c r="U141" s="325"/>
      <c r="V141" s="325"/>
      <c r="W141" s="325"/>
      <c r="X141" s="326"/>
      <c r="Y141" s="448">
        <v>646</v>
      </c>
      <c r="Z141" s="435">
        <v>446</v>
      </c>
      <c r="AA141" s="449">
        <v>361.32600000000002</v>
      </c>
      <c r="AB141" s="464">
        <f t="shared" si="26"/>
        <v>-7.6300246227284383</v>
      </c>
      <c r="AC141" s="592">
        <f t="shared" si="27"/>
        <v>-35.387339942390888</v>
      </c>
      <c r="AD141" s="594">
        <v>305.74</v>
      </c>
      <c r="AE141" s="595">
        <v>330.995</v>
      </c>
      <c r="AF141" s="596">
        <v>473.18900000000002</v>
      </c>
      <c r="AG141" s="973" t="s">
        <v>292</v>
      </c>
      <c r="AH141" s="973"/>
    </row>
    <row r="142" spans="3:34">
      <c r="C142" s="325"/>
      <c r="D142" s="325"/>
      <c r="E142" s="325"/>
      <c r="F142" s="325"/>
      <c r="G142" s="325"/>
      <c r="H142" s="325"/>
      <c r="I142" s="325"/>
      <c r="J142" s="326"/>
      <c r="K142" s="464">
        <f>(M142-N142)*100/N142</f>
        <v>-8.7595964426240691</v>
      </c>
      <c r="L142" s="353">
        <f>(M142-O142)*100/O142</f>
        <v>-54.057357473287489</v>
      </c>
      <c r="M142" s="623">
        <v>351.07299999999998</v>
      </c>
      <c r="N142" s="624">
        <v>384.77800000000002</v>
      </c>
      <c r="O142" s="625">
        <v>764.15499999999997</v>
      </c>
      <c r="P142" s="902" t="s">
        <v>16</v>
      </c>
      <c r="Q142" s="903"/>
      <c r="S142" s="325"/>
      <c r="T142" s="325"/>
      <c r="U142" s="325"/>
      <c r="V142" s="325"/>
      <c r="W142" s="325"/>
      <c r="X142" s="326"/>
      <c r="Y142" s="448">
        <v>815</v>
      </c>
      <c r="Z142" s="435">
        <v>559</v>
      </c>
      <c r="AA142" s="449">
        <v>354.404</v>
      </c>
      <c r="AB142" s="464">
        <f t="shared" si="26"/>
        <v>-8.7595964426240691</v>
      </c>
      <c r="AC142" s="592">
        <f t="shared" si="27"/>
        <v>-54.057357473287489</v>
      </c>
      <c r="AD142" s="594">
        <v>351.07299999999998</v>
      </c>
      <c r="AE142" s="595">
        <v>384.77800000000002</v>
      </c>
      <c r="AF142" s="596">
        <v>764.15499999999997</v>
      </c>
      <c r="AG142" s="973" t="s">
        <v>16</v>
      </c>
      <c r="AH142" s="973"/>
    </row>
    <row r="143" spans="3:34">
      <c r="C143" s="325"/>
      <c r="D143" s="325"/>
      <c r="E143" s="325"/>
      <c r="F143" s="325"/>
      <c r="G143" s="325"/>
      <c r="H143" s="325"/>
      <c r="I143" s="325"/>
      <c r="J143" s="326"/>
      <c r="K143" s="464">
        <f>(M143-N143)*100/N143</f>
        <v>-44.041450777202073</v>
      </c>
      <c r="L143" s="353">
        <f>(M143-O143)*100/O143</f>
        <v>-70.76340010828369</v>
      </c>
      <c r="M143" s="626">
        <v>10.8</v>
      </c>
      <c r="N143" s="624">
        <v>19.3</v>
      </c>
      <c r="O143" s="625">
        <v>36.94</v>
      </c>
      <c r="P143" s="902" t="s">
        <v>17</v>
      </c>
      <c r="Q143" s="903"/>
      <c r="S143" s="325"/>
      <c r="T143" s="325"/>
      <c r="U143" s="325"/>
      <c r="V143" s="325"/>
      <c r="W143" s="325"/>
      <c r="X143" s="326"/>
      <c r="Y143" s="448">
        <f>70/1.42</f>
        <v>49.295774647887328</v>
      </c>
      <c r="Z143" s="435">
        <v>34</v>
      </c>
      <c r="AA143" s="449">
        <v>28.338999999999999</v>
      </c>
      <c r="AB143" s="464">
        <f t="shared" si="26"/>
        <v>-44.041450777202073</v>
      </c>
      <c r="AC143" s="592">
        <f t="shared" si="27"/>
        <v>-70.76340010828369</v>
      </c>
      <c r="AD143" s="353">
        <v>10.8</v>
      </c>
      <c r="AE143" s="595">
        <v>19.3</v>
      </c>
      <c r="AF143" s="596">
        <v>36.94</v>
      </c>
      <c r="AG143" s="973" t="s">
        <v>17</v>
      </c>
      <c r="AH143" s="973"/>
    </row>
    <row r="144" spans="3:34" ht="15.75" thickBot="1">
      <c r="C144" s="325"/>
      <c r="D144" s="325"/>
      <c r="E144" s="325"/>
      <c r="F144" s="325"/>
      <c r="G144" s="325"/>
      <c r="H144" s="325"/>
      <c r="I144" s="325"/>
      <c r="J144" s="326"/>
      <c r="K144" s="357">
        <f>(M144-N144)*100/N144</f>
        <v>14.444250613920904</v>
      </c>
      <c r="L144" s="358">
        <f>(M144-O144)*100/O144</f>
        <v>-6.545179600692542</v>
      </c>
      <c r="M144" s="627">
        <v>85.284999999999997</v>
      </c>
      <c r="N144" s="628">
        <v>74.521000000000001</v>
      </c>
      <c r="O144" s="629">
        <v>91.257999999999996</v>
      </c>
      <c r="P144" s="904" t="s">
        <v>295</v>
      </c>
      <c r="Q144" s="905"/>
      <c r="S144" s="325"/>
      <c r="T144" s="325"/>
      <c r="U144" s="325"/>
      <c r="V144" s="325"/>
      <c r="W144" s="325"/>
      <c r="X144" s="326"/>
      <c r="Y144" s="450">
        <v>110</v>
      </c>
      <c r="Z144" s="451">
        <v>108</v>
      </c>
      <c r="AA144" s="452">
        <v>79.239999999999995</v>
      </c>
      <c r="AB144" s="357">
        <f t="shared" si="26"/>
        <v>14.444250613920904</v>
      </c>
      <c r="AC144" s="593">
        <f t="shared" si="27"/>
        <v>-6.545179600692542</v>
      </c>
      <c r="AD144" s="597">
        <v>85.284999999999997</v>
      </c>
      <c r="AE144" s="598">
        <v>74.521000000000001</v>
      </c>
      <c r="AF144" s="599">
        <v>91.257999999999996</v>
      </c>
      <c r="AG144" s="978" t="s">
        <v>295</v>
      </c>
      <c r="AH144" s="978"/>
    </row>
    <row r="145" spans="3:34" ht="26.25" thickBot="1">
      <c r="C145" s="325"/>
      <c r="D145" s="325"/>
      <c r="E145" s="325"/>
      <c r="F145" s="325"/>
      <c r="G145" s="325"/>
      <c r="H145" s="325"/>
      <c r="I145" s="325"/>
      <c r="J145" s="326"/>
      <c r="K145" s="327"/>
      <c r="L145" s="327"/>
      <c r="M145" s="706"/>
      <c r="N145" s="704"/>
      <c r="O145" s="705"/>
      <c r="P145" s="704"/>
      <c r="Q145" s="704"/>
      <c r="R145" s="387"/>
      <c r="S145" s="325"/>
      <c r="T145" s="325"/>
      <c r="U145" s="325"/>
      <c r="V145" s="325"/>
      <c r="W145" s="325"/>
      <c r="X145" s="326"/>
      <c r="Y145" s="888" t="s">
        <v>315</v>
      </c>
      <c r="Z145" s="888"/>
      <c r="AA145" s="364"/>
      <c r="AB145" s="327"/>
      <c r="AC145" s="327"/>
      <c r="AD145" s="327"/>
      <c r="AE145" s="970" t="s">
        <v>318</v>
      </c>
      <c r="AF145" s="970"/>
      <c r="AG145" s="970"/>
      <c r="AH145" s="970"/>
    </row>
    <row r="146" spans="3:34" ht="19.5" customHeight="1" thickBot="1">
      <c r="C146" s="325"/>
      <c r="D146" s="325"/>
      <c r="E146" s="325"/>
      <c r="F146" s="325"/>
      <c r="G146" s="325"/>
      <c r="H146" s="325"/>
      <c r="I146" s="325"/>
      <c r="J146" s="326"/>
      <c r="K146" s="906" t="s">
        <v>296</v>
      </c>
      <c r="L146" s="907"/>
      <c r="M146" s="908" t="s">
        <v>349</v>
      </c>
      <c r="N146" s="909"/>
      <c r="O146" s="910"/>
      <c r="P146" s="911" t="s">
        <v>396</v>
      </c>
      <c r="Q146" s="912"/>
      <c r="S146" s="325"/>
      <c r="T146" s="325"/>
      <c r="U146" s="325"/>
      <c r="V146" s="325"/>
      <c r="W146" s="325"/>
      <c r="X146" s="326"/>
      <c r="Y146" s="885" t="s">
        <v>307</v>
      </c>
      <c r="Z146" s="886"/>
      <c r="AA146" s="887"/>
      <c r="AB146" s="889" t="s">
        <v>308</v>
      </c>
      <c r="AC146" s="890"/>
      <c r="AD146" s="966" t="s">
        <v>349</v>
      </c>
      <c r="AE146" s="886"/>
      <c r="AF146" s="887"/>
      <c r="AG146" s="967" t="s">
        <v>316</v>
      </c>
      <c r="AH146" s="967"/>
    </row>
    <row r="147" spans="3:34" ht="15.75" customHeight="1" thickBot="1">
      <c r="C147" s="325"/>
      <c r="D147" s="325"/>
      <c r="E147" s="325"/>
      <c r="F147" s="325"/>
      <c r="G147" s="325"/>
      <c r="H147" s="325"/>
      <c r="I147" s="325"/>
      <c r="J147" s="326"/>
      <c r="K147" s="328" t="s">
        <v>181</v>
      </c>
      <c r="L147" s="329" t="s">
        <v>225</v>
      </c>
      <c r="M147" s="330">
        <v>2013</v>
      </c>
      <c r="N147" s="331">
        <v>2012</v>
      </c>
      <c r="O147" s="332">
        <v>2010</v>
      </c>
      <c r="P147" s="913"/>
      <c r="Q147" s="914"/>
      <c r="S147" s="325"/>
      <c r="T147" s="325"/>
      <c r="U147" s="325"/>
      <c r="V147" s="325"/>
      <c r="W147" s="325"/>
      <c r="X147" s="326"/>
      <c r="Y147" s="407" t="s">
        <v>310</v>
      </c>
      <c r="Z147" s="408" t="s">
        <v>311</v>
      </c>
      <c r="AA147" s="409">
        <v>2011</v>
      </c>
      <c r="AB147" s="410" t="s">
        <v>312</v>
      </c>
      <c r="AC147" s="411" t="s">
        <v>313</v>
      </c>
      <c r="AD147" s="412">
        <v>2013</v>
      </c>
      <c r="AE147" s="413">
        <v>2012</v>
      </c>
      <c r="AF147" s="414">
        <v>2010</v>
      </c>
      <c r="AG147" s="967"/>
      <c r="AH147" s="967"/>
    </row>
    <row r="148" spans="3:34" ht="15.75" thickBot="1">
      <c r="C148" s="325"/>
      <c r="D148" s="325"/>
      <c r="E148" s="325"/>
      <c r="F148" s="325"/>
      <c r="G148" s="325"/>
      <c r="H148" s="325"/>
      <c r="I148" s="325"/>
      <c r="J148" s="326"/>
      <c r="K148" s="471">
        <f>(M148-N148)*100/N148</f>
        <v>-22.652922633084547</v>
      </c>
      <c r="L148" s="428">
        <f>(M148-O148)*100/O148</f>
        <v>-44.710290335287439</v>
      </c>
      <c r="M148" s="630">
        <v>2386.1379999999999</v>
      </c>
      <c r="N148" s="631">
        <v>3084.9749999999999</v>
      </c>
      <c r="O148" s="632">
        <v>4315.7</v>
      </c>
      <c r="P148" s="896" t="s">
        <v>285</v>
      </c>
      <c r="Q148" s="897"/>
      <c r="S148" s="325"/>
      <c r="T148" s="325"/>
      <c r="U148" s="325"/>
      <c r="V148" s="325"/>
      <c r="W148" s="325"/>
      <c r="X148" s="326"/>
      <c r="Y148" s="425">
        <v>5290</v>
      </c>
      <c r="Z148" s="426">
        <v>4670</v>
      </c>
      <c r="AA148" s="427">
        <v>3115</v>
      </c>
      <c r="AB148" s="453">
        <f>(AD148-AE148)*100/AE148</f>
        <v>-22.652922633084547</v>
      </c>
      <c r="AC148" s="472">
        <f>(AD148-AF148)*100/AF148</f>
        <v>-44.710290335287439</v>
      </c>
      <c r="AD148" s="426">
        <v>2386.1379999999999</v>
      </c>
      <c r="AE148" s="429">
        <v>3084.9749999999999</v>
      </c>
      <c r="AF148" s="430">
        <v>4315.7</v>
      </c>
      <c r="AG148" s="974" t="s">
        <v>285</v>
      </c>
      <c r="AH148" s="974"/>
    </row>
    <row r="149" spans="3:34">
      <c r="C149" s="325"/>
      <c r="D149" s="325"/>
      <c r="E149" s="325"/>
      <c r="F149" s="325"/>
      <c r="G149" s="325"/>
      <c r="H149" s="325"/>
      <c r="I149" s="325"/>
      <c r="J149" s="326"/>
      <c r="K149" s="347"/>
      <c r="L149" s="348"/>
      <c r="M149" s="620"/>
      <c r="N149" s="621"/>
      <c r="O149" s="622"/>
      <c r="P149" s="898" t="s">
        <v>8</v>
      </c>
      <c r="Q149" s="899"/>
      <c r="S149" s="325"/>
      <c r="T149" s="325"/>
      <c r="U149" s="325"/>
      <c r="V149" s="325"/>
      <c r="W149" s="325"/>
      <c r="X149" s="326"/>
      <c r="Y149" s="446"/>
      <c r="Z149" s="432"/>
      <c r="AA149" s="447"/>
      <c r="AB149" s="347"/>
      <c r="AC149" s="476"/>
      <c r="AD149" s="349"/>
      <c r="AE149" s="350"/>
      <c r="AF149" s="351"/>
      <c r="AG149" s="964" t="s">
        <v>8</v>
      </c>
      <c r="AH149" s="964"/>
    </row>
    <row r="150" spans="3:34">
      <c r="C150" s="325"/>
      <c r="D150" s="325"/>
      <c r="E150" s="325"/>
      <c r="F150" s="325"/>
      <c r="G150" s="325"/>
      <c r="H150" s="325"/>
      <c r="I150" s="325"/>
      <c r="J150" s="326"/>
      <c r="K150" s="352">
        <f>(M150-N150)*100/N150</f>
        <v>11.181024813284829</v>
      </c>
      <c r="L150" s="353">
        <f>(M150-O150)*100/O150</f>
        <v>-1.8452323447010019</v>
      </c>
      <c r="M150" s="623">
        <v>81.28</v>
      </c>
      <c r="N150" s="624">
        <v>73.105999999999995</v>
      </c>
      <c r="O150" s="625">
        <v>82.808000000000007</v>
      </c>
      <c r="P150" s="900" t="s">
        <v>14</v>
      </c>
      <c r="Q150" s="901"/>
      <c r="S150" s="325"/>
      <c r="T150" s="325"/>
      <c r="U150" s="325"/>
      <c r="V150" s="325"/>
      <c r="W150" s="325"/>
      <c r="X150" s="326"/>
      <c r="Y150" s="448">
        <v>110</v>
      </c>
      <c r="Z150" s="435">
        <v>102</v>
      </c>
      <c r="AA150" s="449">
        <v>84.016000000000005</v>
      </c>
      <c r="AB150" s="352">
        <f t="shared" ref="AB150:AB154" si="28">(AD150-AE150)*100/AE150</f>
        <v>11.181024813284829</v>
      </c>
      <c r="AC150" s="592">
        <f t="shared" ref="AC150:AC154" si="29">(AD150-AF150)*100/AF150</f>
        <v>-1.8452323447010019</v>
      </c>
      <c r="AD150" s="594">
        <v>81.28</v>
      </c>
      <c r="AE150" s="595">
        <v>73.105999999999995</v>
      </c>
      <c r="AF150" s="596">
        <v>82.808000000000007</v>
      </c>
      <c r="AG150" s="973" t="s">
        <v>14</v>
      </c>
      <c r="AH150" s="973"/>
    </row>
    <row r="151" spans="3:34">
      <c r="C151" s="325"/>
      <c r="D151" s="325"/>
      <c r="E151" s="325"/>
      <c r="F151" s="325"/>
      <c r="G151" s="325"/>
      <c r="H151" s="325"/>
      <c r="I151" s="325"/>
      <c r="J151" s="326"/>
      <c r="K151" s="464">
        <f>(M151-N151)*100/N151</f>
        <v>-11.249889272743376</v>
      </c>
      <c r="L151" s="353">
        <f>(M151-O151)*100/O151</f>
        <v>4.6698704554952046</v>
      </c>
      <c r="M151" s="633">
        <v>10.019</v>
      </c>
      <c r="N151" s="634">
        <v>11.289</v>
      </c>
      <c r="O151" s="635">
        <v>9.5719999999999992</v>
      </c>
      <c r="P151" s="902" t="s">
        <v>292</v>
      </c>
      <c r="Q151" s="903"/>
      <c r="S151" s="325"/>
      <c r="T151" s="325"/>
      <c r="U151" s="325"/>
      <c r="V151" s="325"/>
      <c r="W151" s="325"/>
      <c r="X151" s="326"/>
      <c r="Y151" s="448">
        <v>20</v>
      </c>
      <c r="Z151" s="435">
        <v>28</v>
      </c>
      <c r="AA151" s="449">
        <v>17.983000000000001</v>
      </c>
      <c r="AB151" s="464">
        <f t="shared" si="28"/>
        <v>-11.249889272743376</v>
      </c>
      <c r="AC151" s="353">
        <f t="shared" si="29"/>
        <v>4.6698704554952046</v>
      </c>
      <c r="AD151" s="600">
        <v>10.019</v>
      </c>
      <c r="AE151" s="601">
        <v>11.289</v>
      </c>
      <c r="AF151" s="602">
        <v>9.5719999999999992</v>
      </c>
      <c r="AG151" s="973" t="s">
        <v>292</v>
      </c>
      <c r="AH151" s="973"/>
    </row>
    <row r="152" spans="3:34">
      <c r="C152" s="325"/>
      <c r="D152" s="325"/>
      <c r="E152" s="325"/>
      <c r="F152" s="325"/>
      <c r="G152" s="325"/>
      <c r="H152" s="325"/>
      <c r="I152" s="325"/>
      <c r="J152" s="326"/>
      <c r="K152" s="464">
        <f>(M152-N152)*100/N152</f>
        <v>-23.90743693144519</v>
      </c>
      <c r="L152" s="353">
        <f>(M152-O152)*100/O152</f>
        <v>2.391393507271979</v>
      </c>
      <c r="M152" s="623">
        <v>32.454999999999998</v>
      </c>
      <c r="N152" s="624">
        <v>42.652000000000001</v>
      </c>
      <c r="O152" s="625">
        <v>31.696999999999999</v>
      </c>
      <c r="P152" s="902" t="s">
        <v>16</v>
      </c>
      <c r="Q152" s="903"/>
      <c r="S152" s="325"/>
      <c r="T152" s="325"/>
      <c r="U152" s="325"/>
      <c r="V152" s="325"/>
      <c r="W152" s="325"/>
      <c r="X152" s="326"/>
      <c r="Y152" s="448">
        <f>900-Y142</f>
        <v>85</v>
      </c>
      <c r="Z152" s="435">
        <v>97</v>
      </c>
      <c r="AA152" s="449">
        <v>79.381</v>
      </c>
      <c r="AB152" s="464">
        <f t="shared" si="28"/>
        <v>-23.90743693144519</v>
      </c>
      <c r="AC152" s="353">
        <f t="shared" si="29"/>
        <v>2.391393507271979</v>
      </c>
      <c r="AD152" s="594">
        <v>32.454999999999998</v>
      </c>
      <c r="AE152" s="595">
        <v>42.652000000000001</v>
      </c>
      <c r="AF152" s="596">
        <v>31.696999999999999</v>
      </c>
      <c r="AG152" s="973" t="s">
        <v>16</v>
      </c>
      <c r="AH152" s="973"/>
    </row>
    <row r="153" spans="3:34">
      <c r="C153" s="325"/>
      <c r="D153" s="325"/>
      <c r="E153" s="325"/>
      <c r="F153" s="325"/>
      <c r="G153" s="325"/>
      <c r="H153" s="325"/>
      <c r="I153" s="325"/>
      <c r="J153" s="326"/>
      <c r="K153" s="352">
        <f>(M153-N153)*100/N153</f>
        <v>6.3305115936694891</v>
      </c>
      <c r="L153" s="353">
        <f>(M153-O153)*100/O153</f>
        <v>10.513229199872484</v>
      </c>
      <c r="M153" s="623">
        <v>17.334</v>
      </c>
      <c r="N153" s="624">
        <v>16.302</v>
      </c>
      <c r="O153" s="625">
        <v>15.685</v>
      </c>
      <c r="P153" s="891" t="s">
        <v>17</v>
      </c>
      <c r="Q153" s="892"/>
      <c r="S153" s="325"/>
      <c r="T153" s="325"/>
      <c r="U153" s="325"/>
      <c r="V153" s="325"/>
      <c r="W153" s="325"/>
      <c r="X153" s="326"/>
      <c r="Y153" s="448">
        <v>25</v>
      </c>
      <c r="Z153" s="435">
        <v>25</v>
      </c>
      <c r="AA153" s="449">
        <v>21.062999999999999</v>
      </c>
      <c r="AB153" s="352">
        <f t="shared" si="28"/>
        <v>6.3305115936694891</v>
      </c>
      <c r="AC153" s="353">
        <f t="shared" si="29"/>
        <v>10.513229199872484</v>
      </c>
      <c r="AD153" s="594">
        <v>17.334</v>
      </c>
      <c r="AE153" s="595">
        <v>16.302</v>
      </c>
      <c r="AF153" s="596">
        <v>15.685</v>
      </c>
      <c r="AG153" s="973" t="s">
        <v>17</v>
      </c>
      <c r="AH153" s="973"/>
    </row>
    <row r="154" spans="3:34" ht="15.75" thickBot="1">
      <c r="C154" s="325"/>
      <c r="D154" s="325"/>
      <c r="E154" s="325"/>
      <c r="F154" s="325"/>
      <c r="G154" s="325"/>
      <c r="H154" s="325"/>
      <c r="I154" s="325"/>
      <c r="J154" s="326"/>
      <c r="K154" s="470">
        <f>(M154-N154)*100/N154</f>
        <v>-0.44336960902860451</v>
      </c>
      <c r="L154" s="358">
        <f>(M154-O154)*100/O154</f>
        <v>-40.092165898617509</v>
      </c>
      <c r="M154" s="636">
        <v>2.4700000000000002</v>
      </c>
      <c r="N154" s="637">
        <v>2.4809999999999999</v>
      </c>
      <c r="O154" s="638">
        <v>4.1230000000000002</v>
      </c>
      <c r="P154" s="893" t="s">
        <v>293</v>
      </c>
      <c r="Q154" s="894"/>
      <c r="S154" s="325"/>
      <c r="T154" s="325"/>
      <c r="U154" s="325"/>
      <c r="V154" s="325"/>
      <c r="W154" s="325"/>
      <c r="X154" s="326"/>
      <c r="Y154" s="454">
        <v>5</v>
      </c>
      <c r="Z154" s="455">
        <v>3.76</v>
      </c>
      <c r="AA154" s="456">
        <v>3.5089999999999999</v>
      </c>
      <c r="AB154" s="470">
        <f t="shared" si="28"/>
        <v>-0.44336960902860451</v>
      </c>
      <c r="AC154" s="593">
        <f t="shared" si="29"/>
        <v>-40.092165898617509</v>
      </c>
      <c r="AD154" s="603">
        <v>2.4700000000000002</v>
      </c>
      <c r="AE154" s="604">
        <v>2.4809999999999999</v>
      </c>
      <c r="AF154" s="605">
        <v>4.1230000000000002</v>
      </c>
      <c r="AG154" s="976" t="s">
        <v>293</v>
      </c>
      <c r="AH154" s="976"/>
    </row>
    <row r="155" spans="3:34" ht="26.25" thickBot="1">
      <c r="C155" s="325"/>
      <c r="D155" s="325"/>
      <c r="E155" s="325"/>
      <c r="F155" s="325"/>
      <c r="G155" s="325"/>
      <c r="H155" s="325"/>
      <c r="I155" s="325"/>
      <c r="J155" s="326"/>
      <c r="K155" s="327"/>
      <c r="L155" s="895"/>
      <c r="M155" s="895"/>
      <c r="N155" s="895"/>
      <c r="O155" s="895"/>
      <c r="P155" s="895"/>
      <c r="Q155" s="895"/>
      <c r="S155" s="325"/>
      <c r="T155" s="325"/>
      <c r="U155" s="325"/>
      <c r="V155" s="325"/>
      <c r="W155" s="325"/>
      <c r="X155" s="326"/>
      <c r="Y155" s="888" t="s">
        <v>348</v>
      </c>
      <c r="Z155" s="888"/>
      <c r="AA155" s="327"/>
      <c r="AB155" s="327"/>
      <c r="AC155" s="977" t="s">
        <v>319</v>
      </c>
      <c r="AD155" s="977"/>
      <c r="AE155" s="977"/>
      <c r="AF155" s="977"/>
      <c r="AG155" s="977"/>
      <c r="AH155" s="977"/>
    </row>
    <row r="156" spans="3:34" ht="18.75" customHeight="1" thickBot="1">
      <c r="C156" s="325"/>
      <c r="D156" s="325"/>
      <c r="E156" s="325"/>
      <c r="F156" s="325"/>
      <c r="G156" s="325"/>
      <c r="H156" s="325"/>
      <c r="I156" s="325"/>
      <c r="J156" s="326"/>
      <c r="K156" s="326"/>
      <c r="L156" s="326"/>
      <c r="M156" s="326"/>
      <c r="N156" s="326"/>
      <c r="O156" s="326"/>
      <c r="P156" s="326"/>
      <c r="Q156" s="326"/>
      <c r="S156" s="325"/>
      <c r="T156" s="325"/>
      <c r="U156" s="325"/>
      <c r="V156" s="325"/>
      <c r="W156" s="325"/>
      <c r="X156" s="326"/>
      <c r="Y156" s="885" t="s">
        <v>307</v>
      </c>
      <c r="Z156" s="886"/>
      <c r="AA156" s="887"/>
      <c r="AB156" s="889" t="s">
        <v>308</v>
      </c>
      <c r="AC156" s="890"/>
      <c r="AD156" s="966" t="s">
        <v>349</v>
      </c>
      <c r="AE156" s="886"/>
      <c r="AF156" s="887"/>
      <c r="AG156" s="967" t="s">
        <v>316</v>
      </c>
      <c r="AH156" s="967"/>
    </row>
    <row r="157" spans="3:34" ht="15.75" customHeight="1" thickBot="1">
      <c r="C157" s="325"/>
      <c r="D157" s="325"/>
      <c r="E157" s="325"/>
      <c r="F157" s="325"/>
      <c r="G157" s="325"/>
      <c r="H157" s="325"/>
      <c r="I157" s="325"/>
      <c r="J157" s="326"/>
      <c r="K157" s="326"/>
      <c r="L157" s="326"/>
      <c r="M157" s="326"/>
      <c r="N157" s="326"/>
      <c r="O157" s="326"/>
      <c r="P157" s="326"/>
      <c r="Q157" s="326"/>
      <c r="S157" s="325"/>
      <c r="T157" s="325"/>
      <c r="U157" s="325"/>
      <c r="V157" s="325"/>
      <c r="W157" s="325"/>
      <c r="X157" s="326"/>
      <c r="Y157" s="407" t="s">
        <v>310</v>
      </c>
      <c r="Z157" s="408" t="s">
        <v>311</v>
      </c>
      <c r="AA157" s="409">
        <v>2011</v>
      </c>
      <c r="AB157" s="410" t="s">
        <v>312</v>
      </c>
      <c r="AC157" s="411" t="s">
        <v>313</v>
      </c>
      <c r="AD157" s="412">
        <v>2013</v>
      </c>
      <c r="AE157" s="413">
        <v>2012</v>
      </c>
      <c r="AF157" s="414">
        <v>2010</v>
      </c>
      <c r="AG157" s="967"/>
      <c r="AH157" s="967"/>
    </row>
    <row r="158" spans="3:34">
      <c r="C158" s="325"/>
      <c r="D158" s="325"/>
      <c r="E158" s="325"/>
      <c r="F158" s="325"/>
      <c r="G158" s="325"/>
      <c r="H158" s="325"/>
      <c r="I158" s="325"/>
      <c r="J158" s="326"/>
      <c r="K158" s="326"/>
      <c r="L158" s="326"/>
      <c r="M158" s="326"/>
      <c r="N158" s="326"/>
      <c r="O158" s="326"/>
      <c r="P158" s="326"/>
      <c r="Q158" s="326"/>
      <c r="S158" s="325"/>
      <c r="T158" s="325"/>
      <c r="U158" s="325"/>
      <c r="V158" s="325"/>
      <c r="W158" s="325"/>
      <c r="X158" s="326"/>
      <c r="Y158" s="606">
        <f>1400*269.028/1000</f>
        <v>376.63920000000002</v>
      </c>
      <c r="Z158" s="607">
        <f>1070*308.262/1000</f>
        <v>329.84034000000003</v>
      </c>
      <c r="AA158" s="608">
        <f>759595*279.655/1000000</f>
        <v>212.42453972499999</v>
      </c>
      <c r="AB158" s="609">
        <f>(AD158-AE158)*100/AE158</f>
        <v>-8.8482928927141788</v>
      </c>
      <c r="AC158" s="610">
        <f>(AD158-AF158)*100/AF158</f>
        <v>2.0660700430767047</v>
      </c>
      <c r="AD158" s="607">
        <f>619684*155.21/1000000</f>
        <v>96.181153640000005</v>
      </c>
      <c r="AE158" s="611">
        <f>536.276*196.76/1000</f>
        <v>105.51766575999999</v>
      </c>
      <c r="AF158" s="612">
        <f>1075.242*87.64/1000</f>
        <v>94.234208879999997</v>
      </c>
      <c r="AG158" s="980" t="s">
        <v>320</v>
      </c>
      <c r="AH158" s="980"/>
    </row>
    <row r="159" spans="3:34" ht="15.75" thickBot="1">
      <c r="C159" s="325"/>
      <c r="D159" s="325"/>
      <c r="E159" s="325"/>
      <c r="F159" s="325"/>
      <c r="G159" s="325"/>
      <c r="H159" s="325"/>
      <c r="I159" s="325"/>
      <c r="J159" s="326"/>
      <c r="K159" s="326"/>
      <c r="L159" s="326"/>
      <c r="M159" s="326"/>
      <c r="N159" s="326"/>
      <c r="O159" s="326"/>
      <c r="P159" s="326"/>
      <c r="Q159" s="326"/>
      <c r="S159" s="325"/>
      <c r="T159" s="325"/>
      <c r="U159" s="325"/>
      <c r="V159" s="325"/>
      <c r="W159" s="325"/>
      <c r="X159" s="326"/>
      <c r="Y159" s="454">
        <f>300*1073.265/1000</f>
        <v>321.97950000000003</v>
      </c>
      <c r="Z159" s="438">
        <f>227*909.177/1000</f>
        <v>206.38317900000001</v>
      </c>
      <c r="AA159" s="439">
        <f>140.377*852.476/1000</f>
        <v>119.66802345200001</v>
      </c>
      <c r="AB159" s="613">
        <f>(AD159-AE159)*100/AE159</f>
        <v>-1.9175513232548405</v>
      </c>
      <c r="AC159" s="614">
        <f>(AD159-AF159)*100/AF159</f>
        <v>-8.0199483532475195</v>
      </c>
      <c r="AD159" s="615">
        <f>146648*540.42/1000000</f>
        <v>79.25151215999999</v>
      </c>
      <c r="AE159" s="616">
        <f>156.758*515.45/1000</f>
        <v>80.800911100000008</v>
      </c>
      <c r="AF159" s="617">
        <f>243.058*354.49/1000</f>
        <v>86.161630419999995</v>
      </c>
      <c r="AG159" s="976" t="s">
        <v>321</v>
      </c>
      <c r="AH159" s="976"/>
    </row>
    <row r="160" spans="3:34" ht="16.5" thickBot="1">
      <c r="C160" s="325"/>
      <c r="D160" s="325"/>
      <c r="E160" s="325"/>
      <c r="F160" s="325"/>
      <c r="G160" s="325"/>
      <c r="H160" s="325"/>
      <c r="I160" s="325"/>
      <c r="J160" s="326"/>
      <c r="K160" s="326"/>
      <c r="L160" s="326"/>
      <c r="M160" s="326"/>
      <c r="N160" s="326"/>
      <c r="O160" s="326"/>
      <c r="P160" s="326"/>
      <c r="Q160" s="326"/>
      <c r="S160" s="325"/>
      <c r="T160" s="325"/>
      <c r="U160" s="325"/>
      <c r="V160" s="325"/>
      <c r="W160" s="325"/>
      <c r="X160" s="326"/>
      <c r="Y160" s="457">
        <f>SUM(Y158:Y159)</f>
        <v>698.61869999999999</v>
      </c>
      <c r="Z160" s="458">
        <f>SUM(Z158:Z159)</f>
        <v>536.22351900000001</v>
      </c>
      <c r="AA160" s="459">
        <f>SUM(AA158:AA159)</f>
        <v>332.09256317699999</v>
      </c>
      <c r="AB160" s="618">
        <f>(AD160-AE160)*100/AE160</f>
        <v>-5.8426332164289221</v>
      </c>
      <c r="AC160" s="619">
        <f>(AD160-AF160)*100/AF160</f>
        <v>-2.7512682771725006</v>
      </c>
      <c r="AD160" s="458">
        <f>SUM(AD158:AD159)</f>
        <v>175.4326658</v>
      </c>
      <c r="AE160" s="460">
        <f>SUM(AE158:AE159)</f>
        <v>186.31857686000001</v>
      </c>
      <c r="AF160" s="461">
        <f>SUM(AF158:AF159)</f>
        <v>180.39583929999998</v>
      </c>
      <c r="AG160" s="975" t="s">
        <v>59</v>
      </c>
      <c r="AH160" s="975"/>
    </row>
    <row r="161" spans="3:34">
      <c r="C161" s="359"/>
      <c r="D161" s="359"/>
      <c r="E161" s="359"/>
      <c r="F161" s="359"/>
      <c r="G161" s="359"/>
      <c r="H161" s="359"/>
      <c r="I161" s="359"/>
      <c r="J161" s="360"/>
      <c r="K161" s="360"/>
      <c r="L161" s="360"/>
      <c r="M161" s="360"/>
      <c r="N161" s="360"/>
      <c r="O161" s="360"/>
      <c r="P161" s="360"/>
      <c r="Q161" s="360"/>
      <c r="S161" s="325"/>
      <c r="T161" s="325"/>
      <c r="U161" s="325"/>
      <c r="V161" s="325"/>
      <c r="W161" s="325"/>
      <c r="X161" s="326"/>
      <c r="Y161" s="326"/>
      <c r="Z161" s="326"/>
      <c r="AA161" s="326"/>
      <c r="AB161" s="326"/>
      <c r="AC161" s="326"/>
      <c r="AD161" s="326"/>
      <c r="AE161" s="326"/>
      <c r="AF161" s="326"/>
      <c r="AG161" s="326"/>
      <c r="AH161" s="326"/>
    </row>
  </sheetData>
  <mergeCells count="151">
    <mergeCell ref="M13:N13"/>
    <mergeCell ref="AG158:AH158"/>
    <mergeCell ref="AG138:AH138"/>
    <mergeCell ref="AG139:AH139"/>
    <mergeCell ref="AG140:AH140"/>
    <mergeCell ref="AG141:AH141"/>
    <mergeCell ref="AG142:AH142"/>
    <mergeCell ref="AG130:AH130"/>
    <mergeCell ref="AG134:AH134"/>
    <mergeCell ref="Y135:Z135"/>
    <mergeCell ref="AD135:AH135"/>
    <mergeCell ref="Y136:AA136"/>
    <mergeCell ref="AB136:AC136"/>
    <mergeCell ref="AD136:AF136"/>
    <mergeCell ref="AG136:AH137"/>
    <mergeCell ref="AG125:AH125"/>
    <mergeCell ref="AG126:AH126"/>
    <mergeCell ref="AG148:AH148"/>
    <mergeCell ref="AG143:AH143"/>
    <mergeCell ref="AG144:AH144"/>
    <mergeCell ref="AE145:AH145"/>
    <mergeCell ref="AD146:AF146"/>
    <mergeCell ref="AG146:AH147"/>
    <mergeCell ref="Q3:W3"/>
    <mergeCell ref="Q5:R5"/>
    <mergeCell ref="Q6:R6"/>
    <mergeCell ref="Q9:R9"/>
    <mergeCell ref="Q12:R12"/>
    <mergeCell ref="Q14:R14"/>
    <mergeCell ref="AG160:AH160"/>
    <mergeCell ref="AG153:AH153"/>
    <mergeCell ref="AG154:AH154"/>
    <mergeCell ref="AC155:AH155"/>
    <mergeCell ref="AB156:AC156"/>
    <mergeCell ref="AD156:AF156"/>
    <mergeCell ref="AG156:AH157"/>
    <mergeCell ref="AG159:AH159"/>
    <mergeCell ref="AG149:AH149"/>
    <mergeCell ref="AG150:AH150"/>
    <mergeCell ref="AG151:AH151"/>
    <mergeCell ref="AG152:AH152"/>
    <mergeCell ref="AG127:AH127"/>
    <mergeCell ref="AG128:AH128"/>
    <mergeCell ref="AG129:AH129"/>
    <mergeCell ref="Y122:AA122"/>
    <mergeCell ref="AB122:AC122"/>
    <mergeCell ref="AD122:AF122"/>
    <mergeCell ref="AG122:AH123"/>
    <mergeCell ref="AG124:AH124"/>
    <mergeCell ref="AG117:AH117"/>
    <mergeCell ref="AG118:AH118"/>
    <mergeCell ref="AG119:AH119"/>
    <mergeCell ref="Y120:AH120"/>
    <mergeCell ref="Y121:Z121"/>
    <mergeCell ref="AG121:AH121"/>
    <mergeCell ref="AG112:AH112"/>
    <mergeCell ref="AG113:AH113"/>
    <mergeCell ref="AG114:AH114"/>
    <mergeCell ref="AG115:AH115"/>
    <mergeCell ref="AG116:AH116"/>
    <mergeCell ref="B33:C33"/>
    <mergeCell ref="Y109:AA109"/>
    <mergeCell ref="AB109:AC109"/>
    <mergeCell ref="AD109:AF109"/>
    <mergeCell ref="AG109:AH110"/>
    <mergeCell ref="AG111:AH111"/>
    <mergeCell ref="AG104:AH104"/>
    <mergeCell ref="S105:AH105"/>
    <mergeCell ref="S106:AH106"/>
    <mergeCell ref="Y108:Z108"/>
    <mergeCell ref="AD108:AH108"/>
    <mergeCell ref="C106:Q106"/>
    <mergeCell ref="C107:Q107"/>
    <mergeCell ref="M108:Q108"/>
    <mergeCell ref="K109:L109"/>
    <mergeCell ref="M109:O109"/>
    <mergeCell ref="P109:Q110"/>
    <mergeCell ref="P111:Q111"/>
    <mergeCell ref="Z107:AB107"/>
    <mergeCell ref="K3:N3"/>
    <mergeCell ref="B6:C6"/>
    <mergeCell ref="M6:N6"/>
    <mergeCell ref="B9:C9"/>
    <mergeCell ref="M9:N9"/>
    <mergeCell ref="B5:C5"/>
    <mergeCell ref="P104:Q104"/>
    <mergeCell ref="C105:Q105"/>
    <mergeCell ref="B55:F55"/>
    <mergeCell ref="K55:N55"/>
    <mergeCell ref="M58:N58"/>
    <mergeCell ref="B80:F80"/>
    <mergeCell ref="K80:N80"/>
    <mergeCell ref="B59:C59"/>
    <mergeCell ref="M59:N59"/>
    <mergeCell ref="K29:N29"/>
    <mergeCell ref="B14:C14"/>
    <mergeCell ref="M14:N14"/>
    <mergeCell ref="B12:C12"/>
    <mergeCell ref="M12:N12"/>
    <mergeCell ref="B29:G29"/>
    <mergeCell ref="B32:C32"/>
    <mergeCell ref="B58:C58"/>
    <mergeCell ref="B3:H3"/>
    <mergeCell ref="P112:Q112"/>
    <mergeCell ref="P113:Q113"/>
    <mergeCell ref="P114:Q114"/>
    <mergeCell ref="P115:Q115"/>
    <mergeCell ref="P116:Q116"/>
    <mergeCell ref="P117:Q117"/>
    <mergeCell ref="P118:Q118"/>
    <mergeCell ref="P119:Q119"/>
    <mergeCell ref="K120:Q120"/>
    <mergeCell ref="P121:Q121"/>
    <mergeCell ref="K122:L122"/>
    <mergeCell ref="M122:O122"/>
    <mergeCell ref="P122:Q123"/>
    <mergeCell ref="P124:Q124"/>
    <mergeCell ref="P125:Q125"/>
    <mergeCell ref="P126:Q126"/>
    <mergeCell ref="P127:Q127"/>
    <mergeCell ref="P128:Q128"/>
    <mergeCell ref="P140:Q140"/>
    <mergeCell ref="P141:Q141"/>
    <mergeCell ref="P142:Q142"/>
    <mergeCell ref="P143:Q143"/>
    <mergeCell ref="P144:Q144"/>
    <mergeCell ref="K146:L146"/>
    <mergeCell ref="M146:O146"/>
    <mergeCell ref="P146:Q147"/>
    <mergeCell ref="P129:Q129"/>
    <mergeCell ref="P130:Q130"/>
    <mergeCell ref="P134:Q134"/>
    <mergeCell ref="M135:Q135"/>
    <mergeCell ref="K136:L136"/>
    <mergeCell ref="M136:O136"/>
    <mergeCell ref="P136:Q137"/>
    <mergeCell ref="P138:Q138"/>
    <mergeCell ref="P139:Q139"/>
    <mergeCell ref="Y156:AA156"/>
    <mergeCell ref="Y155:Z155"/>
    <mergeCell ref="AB146:AC146"/>
    <mergeCell ref="Y146:AA146"/>
    <mergeCell ref="Y145:Z145"/>
    <mergeCell ref="P153:Q153"/>
    <mergeCell ref="P154:Q154"/>
    <mergeCell ref="L155:Q155"/>
    <mergeCell ref="P148:Q148"/>
    <mergeCell ref="P149:Q149"/>
    <mergeCell ref="P150:Q150"/>
    <mergeCell ref="P151:Q151"/>
    <mergeCell ref="P152:Q15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G42"/>
  <sheetViews>
    <sheetView workbookViewId="0">
      <selection activeCell="N21" sqref="N21"/>
    </sheetView>
  </sheetViews>
  <sheetFormatPr baseColWidth="10" defaultRowHeight="15"/>
  <cols>
    <col min="1" max="1" width="33.5703125" customWidth="1"/>
    <col min="2" max="10" width="15.7109375" customWidth="1"/>
    <col min="12" max="12" width="37.85546875" customWidth="1"/>
    <col min="13" max="19" width="17.42578125" customWidth="1"/>
    <col min="20" max="20" width="26.28515625" customWidth="1"/>
  </cols>
  <sheetData>
    <row r="1" spans="1:33" ht="23.25" customHeight="1">
      <c r="A1" s="56"/>
      <c r="B1" s="983" t="s">
        <v>98</v>
      </c>
      <c r="C1" s="984"/>
      <c r="D1" s="985"/>
      <c r="E1" s="983" t="s">
        <v>141</v>
      </c>
      <c r="F1" s="984"/>
      <c r="G1" s="985"/>
      <c r="H1" s="983" t="s">
        <v>99</v>
      </c>
      <c r="I1" s="984"/>
      <c r="J1" s="985"/>
      <c r="M1" s="986" t="s">
        <v>49</v>
      </c>
      <c r="N1" s="987"/>
      <c r="O1" s="986" t="s">
        <v>80</v>
      </c>
      <c r="P1" s="988"/>
      <c r="Q1" s="987"/>
      <c r="R1" s="986" t="s">
        <v>51</v>
      </c>
      <c r="S1" s="987"/>
      <c r="T1" s="498"/>
    </row>
    <row r="2" spans="1:33" ht="23.25" customHeight="1">
      <c r="A2" s="57" t="s">
        <v>100</v>
      </c>
      <c r="B2" s="61" t="s">
        <v>404</v>
      </c>
      <c r="C2" s="61" t="s">
        <v>405</v>
      </c>
      <c r="D2" s="61" t="s">
        <v>326</v>
      </c>
      <c r="E2" s="61" t="s">
        <v>404</v>
      </c>
      <c r="F2" s="61" t="s">
        <v>405</v>
      </c>
      <c r="G2" s="61" t="s">
        <v>326</v>
      </c>
      <c r="H2" s="61" t="s">
        <v>404</v>
      </c>
      <c r="I2" s="61" t="s">
        <v>405</v>
      </c>
      <c r="J2" s="61" t="s">
        <v>326</v>
      </c>
      <c r="M2" s="31" t="s">
        <v>353</v>
      </c>
      <c r="N2" s="32" t="s">
        <v>378</v>
      </c>
      <c r="O2" s="489" t="s">
        <v>304</v>
      </c>
      <c r="P2" s="31" t="s">
        <v>353</v>
      </c>
      <c r="Q2" s="32" t="s">
        <v>378</v>
      </c>
      <c r="R2" s="31" t="s">
        <v>353</v>
      </c>
      <c r="S2" s="32" t="s">
        <v>378</v>
      </c>
      <c r="T2" s="26"/>
      <c r="X2" s="673" t="s">
        <v>370</v>
      </c>
      <c r="Y2" s="674" t="s">
        <v>98</v>
      </c>
      <c r="Z2" s="674"/>
      <c r="AA2" s="674"/>
      <c r="AB2" s="674" t="s">
        <v>371</v>
      </c>
      <c r="AC2" s="674"/>
      <c r="AD2" s="674"/>
      <c r="AE2" s="674" t="s">
        <v>99</v>
      </c>
      <c r="AF2" s="674"/>
      <c r="AG2" s="674"/>
    </row>
    <row r="3" spans="1:33" ht="27.75" customHeight="1">
      <c r="A3" s="484" t="s">
        <v>101</v>
      </c>
      <c r="B3" s="787">
        <v>51</v>
      </c>
      <c r="C3" s="787">
        <v>36</v>
      </c>
      <c r="D3" s="788">
        <v>-29.411764705882355</v>
      </c>
      <c r="E3" s="788">
        <v>67.400000000000006</v>
      </c>
      <c r="F3" s="788">
        <v>78.099999999999994</v>
      </c>
      <c r="G3" s="788">
        <v>15.875370919881293</v>
      </c>
      <c r="H3" s="787">
        <v>1730</v>
      </c>
      <c r="I3" s="787">
        <v>1101</v>
      </c>
      <c r="J3" s="788">
        <v>-36.358381502890175</v>
      </c>
      <c r="M3" s="58">
        <f>H3</f>
        <v>1730</v>
      </c>
      <c r="N3" s="58">
        <f>I3</f>
        <v>1101</v>
      </c>
      <c r="O3" s="59">
        <f>+G3</f>
        <v>15.875370919881293</v>
      </c>
      <c r="P3" s="59">
        <f>E3</f>
        <v>67.400000000000006</v>
      </c>
      <c r="Q3" s="59">
        <f>F3</f>
        <v>78.099999999999994</v>
      </c>
      <c r="R3" s="58">
        <f>B3</f>
        <v>51</v>
      </c>
      <c r="S3" s="58">
        <f>C3</f>
        <v>36</v>
      </c>
      <c r="T3" s="27" t="s">
        <v>60</v>
      </c>
      <c r="U3" s="118">
        <f>Q3/$Q$21</f>
        <v>5.0115503080082127E-2</v>
      </c>
      <c r="X3" s="675" t="s">
        <v>100</v>
      </c>
      <c r="Y3" s="676" t="s">
        <v>372</v>
      </c>
      <c r="Z3" s="676" t="s">
        <v>373</v>
      </c>
      <c r="AA3" s="677" t="s">
        <v>374</v>
      </c>
      <c r="AB3" s="676" t="s">
        <v>372</v>
      </c>
      <c r="AC3" s="676" t="s">
        <v>373</v>
      </c>
      <c r="AD3" s="677" t="s">
        <v>374</v>
      </c>
      <c r="AE3" s="676" t="s">
        <v>372</v>
      </c>
      <c r="AF3" s="676" t="s">
        <v>373</v>
      </c>
      <c r="AG3" s="677" t="s">
        <v>374</v>
      </c>
    </row>
    <row r="4" spans="1:33" ht="28.5" customHeight="1">
      <c r="A4" s="485" t="s">
        <v>102</v>
      </c>
      <c r="B4" s="787">
        <v>8</v>
      </c>
      <c r="C4" s="787">
        <v>9</v>
      </c>
      <c r="D4" s="788">
        <v>12.5</v>
      </c>
      <c r="E4" s="788">
        <v>55</v>
      </c>
      <c r="F4" s="788">
        <v>15.4</v>
      </c>
      <c r="G4" s="788">
        <v>-72</v>
      </c>
      <c r="H4" s="787">
        <v>555</v>
      </c>
      <c r="I4" s="787">
        <v>212</v>
      </c>
      <c r="J4" s="788">
        <v>-61.801801801801801</v>
      </c>
      <c r="M4" s="58">
        <f t="shared" ref="M4:N20" si="0">H4</f>
        <v>555</v>
      </c>
      <c r="N4" s="58">
        <f t="shared" si="0"/>
        <v>212</v>
      </c>
      <c r="O4" s="490">
        <f t="shared" ref="O4:O20" si="1">+G4</f>
        <v>-72</v>
      </c>
      <c r="P4" s="59">
        <f t="shared" ref="P4:Q20" si="2">E4</f>
        <v>55</v>
      </c>
      <c r="Q4" s="59">
        <f t="shared" si="2"/>
        <v>15.4</v>
      </c>
      <c r="R4" s="58">
        <f t="shared" ref="R4:R22" si="3">B4</f>
        <v>8</v>
      </c>
      <c r="S4" s="58">
        <f t="shared" ref="S4:S20" si="4">C4</f>
        <v>9</v>
      </c>
      <c r="T4" s="491" t="s">
        <v>61</v>
      </c>
      <c r="U4" s="118">
        <f>Q4/$Q$21</f>
        <v>9.8819301848049271E-3</v>
      </c>
      <c r="X4" s="678" t="s">
        <v>101</v>
      </c>
      <c r="Y4" s="679">
        <v>51</v>
      </c>
      <c r="Z4" s="679">
        <v>36</v>
      </c>
      <c r="AA4" s="680">
        <v>-29.411764705882355</v>
      </c>
      <c r="AB4" s="680">
        <v>67.400000000000006</v>
      </c>
      <c r="AC4" s="680">
        <v>78.099999999999994</v>
      </c>
      <c r="AD4" s="680">
        <v>15.875370919881293</v>
      </c>
      <c r="AE4" s="679">
        <v>1730</v>
      </c>
      <c r="AF4" s="679">
        <v>1101</v>
      </c>
      <c r="AG4" s="680">
        <v>-36.358381502890175</v>
      </c>
    </row>
    <row r="5" spans="1:33" ht="23.25" customHeight="1">
      <c r="A5" s="486" t="s">
        <v>103</v>
      </c>
      <c r="B5" s="787">
        <v>13</v>
      </c>
      <c r="C5" s="787">
        <v>11</v>
      </c>
      <c r="D5" s="788">
        <v>-15.384615384615385</v>
      </c>
      <c r="E5" s="788">
        <v>14.4</v>
      </c>
      <c r="F5" s="788">
        <v>6.4</v>
      </c>
      <c r="G5" s="788">
        <v>-55.555555555555557</v>
      </c>
      <c r="H5" s="787">
        <v>138</v>
      </c>
      <c r="I5" s="787">
        <v>123</v>
      </c>
      <c r="J5" s="788">
        <v>-10.869565217391305</v>
      </c>
      <c r="M5" s="58">
        <f t="shared" si="0"/>
        <v>138</v>
      </c>
      <c r="N5" s="58">
        <f t="shared" si="0"/>
        <v>123</v>
      </c>
      <c r="O5" s="490">
        <f t="shared" si="1"/>
        <v>-55.555555555555557</v>
      </c>
      <c r="P5" s="59">
        <f t="shared" si="2"/>
        <v>14.4</v>
      </c>
      <c r="Q5" s="59">
        <f t="shared" si="2"/>
        <v>6.4</v>
      </c>
      <c r="R5" s="58">
        <f t="shared" si="3"/>
        <v>13</v>
      </c>
      <c r="S5" s="58">
        <f t="shared" si="4"/>
        <v>11</v>
      </c>
      <c r="T5" s="492" t="s">
        <v>62</v>
      </c>
      <c r="U5" s="118">
        <f t="shared" ref="U5:U20" si="5">Q5/$Q$21</f>
        <v>4.1067761806981521E-3</v>
      </c>
      <c r="X5" s="681" t="s">
        <v>102</v>
      </c>
      <c r="Y5" s="679">
        <v>8</v>
      </c>
      <c r="Z5" s="679">
        <v>9</v>
      </c>
      <c r="AA5" s="680">
        <v>12.5</v>
      </c>
      <c r="AB5" s="680">
        <v>55</v>
      </c>
      <c r="AC5" s="680">
        <v>15.4</v>
      </c>
      <c r="AD5" s="680">
        <v>-72</v>
      </c>
      <c r="AE5" s="679">
        <v>555</v>
      </c>
      <c r="AF5" s="679">
        <v>212</v>
      </c>
      <c r="AG5" s="680">
        <v>-61.801801801801801</v>
      </c>
    </row>
    <row r="6" spans="1:33" ht="23.25" customHeight="1">
      <c r="A6" s="485" t="s">
        <v>104</v>
      </c>
      <c r="B6" s="787">
        <v>61</v>
      </c>
      <c r="C6" s="787">
        <v>47</v>
      </c>
      <c r="D6" s="788">
        <v>-22.950819672131146</v>
      </c>
      <c r="E6" s="788">
        <v>40.799999999999997</v>
      </c>
      <c r="F6" s="788">
        <v>29.6</v>
      </c>
      <c r="G6" s="788">
        <v>-27.450980392156854</v>
      </c>
      <c r="H6" s="787">
        <v>1257</v>
      </c>
      <c r="I6" s="787">
        <v>754</v>
      </c>
      <c r="J6" s="788">
        <v>-40.015910898965792</v>
      </c>
      <c r="M6" s="58">
        <f t="shared" si="0"/>
        <v>1257</v>
      </c>
      <c r="N6" s="58">
        <f t="shared" si="0"/>
        <v>754</v>
      </c>
      <c r="O6" s="490">
        <f t="shared" si="1"/>
        <v>-27.450980392156854</v>
      </c>
      <c r="P6" s="59">
        <f t="shared" si="2"/>
        <v>40.799999999999997</v>
      </c>
      <c r="Q6" s="59">
        <f t="shared" si="2"/>
        <v>29.6</v>
      </c>
      <c r="R6" s="58">
        <f t="shared" si="3"/>
        <v>61</v>
      </c>
      <c r="S6" s="58">
        <f t="shared" si="4"/>
        <v>47</v>
      </c>
      <c r="T6" s="493" t="s">
        <v>63</v>
      </c>
      <c r="U6" s="118">
        <f t="shared" si="5"/>
        <v>1.8993839835728953E-2</v>
      </c>
      <c r="X6" s="681" t="s">
        <v>103</v>
      </c>
      <c r="Y6" s="679">
        <v>13</v>
      </c>
      <c r="Z6" s="679">
        <v>11</v>
      </c>
      <c r="AA6" s="680">
        <v>-15.384615384615385</v>
      </c>
      <c r="AB6" s="680">
        <v>14.4</v>
      </c>
      <c r="AC6" s="680">
        <v>6.4</v>
      </c>
      <c r="AD6" s="680">
        <v>-55.555555555555557</v>
      </c>
      <c r="AE6" s="679">
        <v>138</v>
      </c>
      <c r="AF6" s="679">
        <v>123</v>
      </c>
      <c r="AG6" s="680">
        <v>-10.869565217391305</v>
      </c>
    </row>
    <row r="7" spans="1:33" ht="23.25" customHeight="1">
      <c r="A7" s="486" t="s">
        <v>105</v>
      </c>
      <c r="B7" s="787">
        <v>31</v>
      </c>
      <c r="C7" s="787">
        <v>28</v>
      </c>
      <c r="D7" s="788">
        <v>-9.67741935483871</v>
      </c>
      <c r="E7" s="788">
        <v>83.4</v>
      </c>
      <c r="F7" s="788">
        <v>60.9</v>
      </c>
      <c r="G7" s="788">
        <v>-26.978417266187058</v>
      </c>
      <c r="H7" s="787">
        <v>1401</v>
      </c>
      <c r="I7" s="787">
        <v>1731</v>
      </c>
      <c r="J7" s="788">
        <v>23.554603854389722</v>
      </c>
      <c r="M7" s="58">
        <f t="shared" si="0"/>
        <v>1401</v>
      </c>
      <c r="N7" s="58">
        <f t="shared" si="0"/>
        <v>1731</v>
      </c>
      <c r="O7" s="490">
        <f t="shared" si="1"/>
        <v>-26.978417266187058</v>
      </c>
      <c r="P7" s="59">
        <f t="shared" si="2"/>
        <v>83.4</v>
      </c>
      <c r="Q7" s="59">
        <f t="shared" si="2"/>
        <v>60.9</v>
      </c>
      <c r="R7" s="58">
        <f t="shared" si="3"/>
        <v>31</v>
      </c>
      <c r="S7" s="58">
        <f t="shared" si="4"/>
        <v>28</v>
      </c>
      <c r="T7" s="494" t="s">
        <v>64</v>
      </c>
      <c r="U7" s="118">
        <f t="shared" si="5"/>
        <v>3.9078542094455847E-2</v>
      </c>
      <c r="X7" s="678" t="s">
        <v>104</v>
      </c>
      <c r="Y7" s="679">
        <v>61</v>
      </c>
      <c r="Z7" s="679">
        <v>47</v>
      </c>
      <c r="AA7" s="680">
        <v>-22.950819672131146</v>
      </c>
      <c r="AB7" s="680">
        <v>40.799999999999997</v>
      </c>
      <c r="AC7" s="680">
        <v>29.6</v>
      </c>
      <c r="AD7" s="680">
        <v>-27.450980392156854</v>
      </c>
      <c r="AE7" s="679">
        <v>1257</v>
      </c>
      <c r="AF7" s="679">
        <v>754</v>
      </c>
      <c r="AG7" s="680">
        <v>-40.015910898965792</v>
      </c>
    </row>
    <row r="8" spans="1:33" ht="23.25" customHeight="1">
      <c r="A8" s="487" t="s">
        <v>106</v>
      </c>
      <c r="B8" s="787">
        <v>80</v>
      </c>
      <c r="C8" s="787">
        <v>69</v>
      </c>
      <c r="D8" s="788">
        <v>-13.75</v>
      </c>
      <c r="E8" s="788">
        <v>98.1</v>
      </c>
      <c r="F8" s="788">
        <v>121.1</v>
      </c>
      <c r="G8" s="788">
        <v>23.445463812436284</v>
      </c>
      <c r="H8" s="787">
        <v>2253</v>
      </c>
      <c r="I8" s="787">
        <v>1335</v>
      </c>
      <c r="J8" s="788">
        <v>-40.745672436750993</v>
      </c>
      <c r="M8" s="58">
        <f t="shared" si="0"/>
        <v>2253</v>
      </c>
      <c r="N8" s="58">
        <f t="shared" si="0"/>
        <v>1335</v>
      </c>
      <c r="O8" s="59">
        <f t="shared" si="1"/>
        <v>23.445463812436284</v>
      </c>
      <c r="P8" s="59">
        <f t="shared" si="2"/>
        <v>98.1</v>
      </c>
      <c r="Q8" s="59">
        <f t="shared" si="2"/>
        <v>121.1</v>
      </c>
      <c r="R8" s="58">
        <f t="shared" si="3"/>
        <v>80</v>
      </c>
      <c r="S8" s="58">
        <f t="shared" si="4"/>
        <v>69</v>
      </c>
      <c r="T8" s="29" t="s">
        <v>65</v>
      </c>
      <c r="U8" s="118">
        <f t="shared" si="5"/>
        <v>7.7707905544147832E-2</v>
      </c>
      <c r="X8" s="678" t="s">
        <v>105</v>
      </c>
      <c r="Y8" s="679">
        <v>31</v>
      </c>
      <c r="Z8" s="679">
        <v>28</v>
      </c>
      <c r="AA8" s="680">
        <v>-9.67741935483871</v>
      </c>
      <c r="AB8" s="680">
        <v>83.4</v>
      </c>
      <c r="AC8" s="680">
        <v>60.9</v>
      </c>
      <c r="AD8" s="680">
        <v>-26.978417266187058</v>
      </c>
      <c r="AE8" s="679">
        <v>1401</v>
      </c>
      <c r="AF8" s="679">
        <v>1731</v>
      </c>
      <c r="AG8" s="680">
        <v>23.554603854389722</v>
      </c>
    </row>
    <row r="9" spans="1:33" ht="23.25" customHeight="1">
      <c r="A9" s="486" t="s">
        <v>107</v>
      </c>
      <c r="B9" s="787">
        <v>46</v>
      </c>
      <c r="C9" s="787">
        <v>62</v>
      </c>
      <c r="D9" s="788">
        <v>34.782608695652172</v>
      </c>
      <c r="E9" s="788">
        <v>85.1</v>
      </c>
      <c r="F9" s="788">
        <v>51.8</v>
      </c>
      <c r="G9" s="788">
        <v>-39.130434782608688</v>
      </c>
      <c r="H9" s="787">
        <v>1776</v>
      </c>
      <c r="I9" s="787">
        <v>1388</v>
      </c>
      <c r="J9" s="788">
        <v>-21.846846846846844</v>
      </c>
      <c r="M9" s="58">
        <f t="shared" si="0"/>
        <v>1776</v>
      </c>
      <c r="N9" s="58">
        <f t="shared" si="0"/>
        <v>1388</v>
      </c>
      <c r="O9" s="490">
        <f t="shared" si="1"/>
        <v>-39.130434782608688</v>
      </c>
      <c r="P9" s="59">
        <f t="shared" si="2"/>
        <v>85.1</v>
      </c>
      <c r="Q9" s="59">
        <f t="shared" si="2"/>
        <v>51.8</v>
      </c>
      <c r="R9" s="58">
        <f t="shared" si="3"/>
        <v>46</v>
      </c>
      <c r="S9" s="58">
        <f t="shared" si="4"/>
        <v>62</v>
      </c>
      <c r="T9" s="494" t="s">
        <v>66</v>
      </c>
      <c r="U9" s="118">
        <f t="shared" si="5"/>
        <v>3.3239219712525664E-2</v>
      </c>
      <c r="X9" s="678" t="s">
        <v>106</v>
      </c>
      <c r="Y9" s="679">
        <v>80</v>
      </c>
      <c r="Z9" s="679">
        <v>69</v>
      </c>
      <c r="AA9" s="680">
        <v>-13.75</v>
      </c>
      <c r="AB9" s="680">
        <v>98.1</v>
      </c>
      <c r="AC9" s="680">
        <v>121.1</v>
      </c>
      <c r="AD9" s="680">
        <v>23.445463812436284</v>
      </c>
      <c r="AE9" s="679">
        <v>2253</v>
      </c>
      <c r="AF9" s="679">
        <v>1335</v>
      </c>
      <c r="AG9" s="680">
        <v>-40.745672436750993</v>
      </c>
    </row>
    <row r="10" spans="1:33" ht="23.25" customHeight="1">
      <c r="A10" s="487" t="s">
        <v>108</v>
      </c>
      <c r="B10" s="787">
        <v>32</v>
      </c>
      <c r="C10" s="787">
        <v>43</v>
      </c>
      <c r="D10" s="788">
        <v>34.375</v>
      </c>
      <c r="E10" s="788">
        <v>16.7</v>
      </c>
      <c r="F10" s="788">
        <v>21.1</v>
      </c>
      <c r="G10" s="788">
        <v>26.347305389221564</v>
      </c>
      <c r="H10" s="787">
        <v>472</v>
      </c>
      <c r="I10" s="787">
        <v>509</v>
      </c>
      <c r="J10" s="788">
        <v>7.8389830508474576</v>
      </c>
      <c r="M10" s="58">
        <f t="shared" si="0"/>
        <v>472</v>
      </c>
      <c r="N10" s="58">
        <f t="shared" si="0"/>
        <v>509</v>
      </c>
      <c r="O10" s="59">
        <f t="shared" si="1"/>
        <v>26.347305389221564</v>
      </c>
      <c r="P10" s="59">
        <f t="shared" si="2"/>
        <v>16.7</v>
      </c>
      <c r="Q10" s="59">
        <f t="shared" si="2"/>
        <v>21.1</v>
      </c>
      <c r="R10" s="58">
        <f t="shared" si="3"/>
        <v>32</v>
      </c>
      <c r="S10" s="58">
        <f t="shared" si="4"/>
        <v>43</v>
      </c>
      <c r="T10" s="29" t="s">
        <v>67</v>
      </c>
      <c r="U10" s="118">
        <f t="shared" si="5"/>
        <v>1.3539527720739219E-2</v>
      </c>
      <c r="X10" s="678" t="s">
        <v>107</v>
      </c>
      <c r="Y10" s="679">
        <v>46</v>
      </c>
      <c r="Z10" s="679">
        <v>62</v>
      </c>
      <c r="AA10" s="680">
        <v>34.782608695652172</v>
      </c>
      <c r="AB10" s="680">
        <v>85.1</v>
      </c>
      <c r="AC10" s="680">
        <v>51.8</v>
      </c>
      <c r="AD10" s="680">
        <v>-39.130434782608688</v>
      </c>
      <c r="AE10" s="679">
        <v>1776</v>
      </c>
      <c r="AF10" s="679">
        <v>1388</v>
      </c>
      <c r="AG10" s="680">
        <v>-21.846846846846844</v>
      </c>
    </row>
    <row r="11" spans="1:33" ht="23.25" customHeight="1">
      <c r="A11" s="484" t="s">
        <v>109</v>
      </c>
      <c r="B11" s="787">
        <v>29</v>
      </c>
      <c r="C11" s="787">
        <v>29</v>
      </c>
      <c r="D11" s="788">
        <v>0</v>
      </c>
      <c r="E11" s="788">
        <v>32.299999999999997</v>
      </c>
      <c r="F11" s="788">
        <v>52.8</v>
      </c>
      <c r="G11" s="788">
        <v>63.467492260061917</v>
      </c>
      <c r="H11" s="787">
        <v>628</v>
      </c>
      <c r="I11" s="787">
        <v>1419</v>
      </c>
      <c r="J11" s="788">
        <v>125.95541401273887</v>
      </c>
      <c r="M11" s="58">
        <f t="shared" si="0"/>
        <v>628</v>
      </c>
      <c r="N11" s="58">
        <f t="shared" si="0"/>
        <v>1419</v>
      </c>
      <c r="O11" s="59">
        <f t="shared" si="1"/>
        <v>63.467492260061917</v>
      </c>
      <c r="P11" s="59">
        <f t="shared" si="2"/>
        <v>32.299999999999997</v>
      </c>
      <c r="Q11" s="59">
        <f t="shared" si="2"/>
        <v>52.8</v>
      </c>
      <c r="R11" s="58">
        <f t="shared" si="3"/>
        <v>29</v>
      </c>
      <c r="S11" s="58">
        <f t="shared" si="4"/>
        <v>29</v>
      </c>
      <c r="T11" s="27" t="s">
        <v>68</v>
      </c>
      <c r="U11" s="118">
        <f t="shared" si="5"/>
        <v>3.3880903490759749E-2</v>
      </c>
      <c r="X11" s="678" t="s">
        <v>108</v>
      </c>
      <c r="Y11" s="679">
        <v>32</v>
      </c>
      <c r="Z11" s="679">
        <v>43</v>
      </c>
      <c r="AA11" s="680">
        <v>34.375</v>
      </c>
      <c r="AB11" s="680">
        <v>16.7</v>
      </c>
      <c r="AC11" s="680">
        <v>21.1</v>
      </c>
      <c r="AD11" s="680">
        <v>26.347305389221564</v>
      </c>
      <c r="AE11" s="679">
        <v>472</v>
      </c>
      <c r="AF11" s="679">
        <v>509</v>
      </c>
      <c r="AG11" s="680">
        <v>7.8389830508474576</v>
      </c>
    </row>
    <row r="12" spans="1:33" ht="23.25" customHeight="1">
      <c r="A12" s="485" t="s">
        <v>110</v>
      </c>
      <c r="B12" s="787">
        <v>23</v>
      </c>
      <c r="C12" s="787">
        <v>16</v>
      </c>
      <c r="D12" s="788">
        <v>-30.434782608695656</v>
      </c>
      <c r="E12" s="788">
        <v>13.3</v>
      </c>
      <c r="F12" s="788">
        <v>7.3</v>
      </c>
      <c r="G12" s="788">
        <v>-45.112781954887225</v>
      </c>
      <c r="H12" s="787">
        <v>510</v>
      </c>
      <c r="I12" s="787">
        <v>416</v>
      </c>
      <c r="J12" s="788">
        <v>-18.43137254901961</v>
      </c>
      <c r="M12" s="58">
        <f t="shared" si="0"/>
        <v>510</v>
      </c>
      <c r="N12" s="58">
        <f t="shared" si="0"/>
        <v>416</v>
      </c>
      <c r="O12" s="490">
        <f t="shared" si="1"/>
        <v>-45.112781954887225</v>
      </c>
      <c r="P12" s="59">
        <f t="shared" si="2"/>
        <v>13.3</v>
      </c>
      <c r="Q12" s="59">
        <f t="shared" si="2"/>
        <v>7.3</v>
      </c>
      <c r="R12" s="58">
        <f t="shared" si="3"/>
        <v>23</v>
      </c>
      <c r="S12" s="58">
        <f t="shared" si="4"/>
        <v>16</v>
      </c>
      <c r="T12" s="491" t="s">
        <v>69</v>
      </c>
      <c r="U12" s="118">
        <f t="shared" si="5"/>
        <v>4.6842915811088296E-3</v>
      </c>
      <c r="X12" s="678" t="s">
        <v>109</v>
      </c>
      <c r="Y12" s="679">
        <v>29</v>
      </c>
      <c r="Z12" s="679">
        <v>29</v>
      </c>
      <c r="AA12" s="680">
        <v>0</v>
      </c>
      <c r="AB12" s="680">
        <v>32.299999999999997</v>
      </c>
      <c r="AC12" s="680">
        <v>52.8</v>
      </c>
      <c r="AD12" s="680">
        <v>63.467492260061917</v>
      </c>
      <c r="AE12" s="679">
        <v>628</v>
      </c>
      <c r="AF12" s="679">
        <v>1419</v>
      </c>
      <c r="AG12" s="680">
        <v>125.95541401273887</v>
      </c>
    </row>
    <row r="13" spans="1:33" ht="23.25" customHeight="1">
      <c r="A13" s="486" t="s">
        <v>111</v>
      </c>
      <c r="B13" s="787">
        <v>40</v>
      </c>
      <c r="C13" s="787">
        <v>33</v>
      </c>
      <c r="D13" s="788">
        <v>-17.5</v>
      </c>
      <c r="E13" s="788">
        <v>85.5</v>
      </c>
      <c r="F13" s="788">
        <v>22.7</v>
      </c>
      <c r="G13" s="788">
        <v>-73.450292397660817</v>
      </c>
      <c r="H13" s="787">
        <v>777</v>
      </c>
      <c r="I13" s="787">
        <v>393</v>
      </c>
      <c r="J13" s="788">
        <v>-49.420849420849422</v>
      </c>
      <c r="M13" s="58">
        <f t="shared" si="0"/>
        <v>777</v>
      </c>
      <c r="N13" s="58">
        <f t="shared" si="0"/>
        <v>393</v>
      </c>
      <c r="O13" s="490">
        <f t="shared" si="1"/>
        <v>-73.450292397660817</v>
      </c>
      <c r="P13" s="59">
        <f t="shared" si="2"/>
        <v>85.5</v>
      </c>
      <c r="Q13" s="59">
        <f t="shared" si="2"/>
        <v>22.7</v>
      </c>
      <c r="R13" s="58">
        <f t="shared" si="3"/>
        <v>40</v>
      </c>
      <c r="S13" s="58">
        <f t="shared" si="4"/>
        <v>33</v>
      </c>
      <c r="T13" s="492" t="s">
        <v>70</v>
      </c>
      <c r="U13" s="118">
        <f t="shared" si="5"/>
        <v>1.4566221765913757E-2</v>
      </c>
      <c r="X13" s="681" t="s">
        <v>110</v>
      </c>
      <c r="Y13" s="679">
        <v>23</v>
      </c>
      <c r="Z13" s="679">
        <v>16</v>
      </c>
      <c r="AA13" s="680">
        <v>-30.434782608695656</v>
      </c>
      <c r="AB13" s="680">
        <v>13.3</v>
      </c>
      <c r="AC13" s="680">
        <v>7.3</v>
      </c>
      <c r="AD13" s="680">
        <v>-45.112781954887225</v>
      </c>
      <c r="AE13" s="679">
        <v>510</v>
      </c>
      <c r="AF13" s="679">
        <v>416</v>
      </c>
      <c r="AG13" s="680">
        <v>-18.43137254901961</v>
      </c>
    </row>
    <row r="14" spans="1:33" ht="23.25" customHeight="1">
      <c r="A14" s="488" t="s">
        <v>112</v>
      </c>
      <c r="B14" s="787">
        <v>64</v>
      </c>
      <c r="C14" s="787">
        <v>49</v>
      </c>
      <c r="D14" s="788">
        <v>-23.4375</v>
      </c>
      <c r="E14" s="788">
        <v>32.4</v>
      </c>
      <c r="F14" s="788">
        <v>120.8</v>
      </c>
      <c r="G14" s="788">
        <v>272.83950617283949</v>
      </c>
      <c r="H14" s="787">
        <v>678</v>
      </c>
      <c r="I14" s="787">
        <v>1048</v>
      </c>
      <c r="J14" s="788">
        <v>54.572271386430685</v>
      </c>
      <c r="M14" s="58">
        <f t="shared" si="0"/>
        <v>678</v>
      </c>
      <c r="N14" s="58">
        <f t="shared" si="0"/>
        <v>1048</v>
      </c>
      <c r="O14" s="59">
        <f t="shared" si="1"/>
        <v>272.83950617283949</v>
      </c>
      <c r="P14" s="59">
        <f t="shared" si="2"/>
        <v>32.4</v>
      </c>
      <c r="Q14" s="59">
        <f t="shared" si="2"/>
        <v>120.8</v>
      </c>
      <c r="R14" s="58">
        <f t="shared" si="3"/>
        <v>64</v>
      </c>
      <c r="S14" s="58">
        <f t="shared" si="4"/>
        <v>49</v>
      </c>
      <c r="T14" s="28" t="s">
        <v>71</v>
      </c>
      <c r="U14" s="118">
        <f t="shared" si="5"/>
        <v>7.7515400410677615E-2</v>
      </c>
      <c r="X14" s="681" t="s">
        <v>111</v>
      </c>
      <c r="Y14" s="679">
        <v>40</v>
      </c>
      <c r="Z14" s="679">
        <v>33</v>
      </c>
      <c r="AA14" s="680">
        <v>-17.5</v>
      </c>
      <c r="AB14" s="680">
        <v>85.5</v>
      </c>
      <c r="AC14" s="680">
        <v>22.7</v>
      </c>
      <c r="AD14" s="680">
        <v>-73.450292397660817</v>
      </c>
      <c r="AE14" s="679">
        <v>777</v>
      </c>
      <c r="AF14" s="679">
        <v>393</v>
      </c>
      <c r="AG14" s="680">
        <v>-49.420849420849422</v>
      </c>
    </row>
    <row r="15" spans="1:33" ht="23.25" customHeight="1">
      <c r="A15" s="699" t="s">
        <v>113</v>
      </c>
      <c r="B15" s="787">
        <v>89</v>
      </c>
      <c r="C15" s="787">
        <v>35</v>
      </c>
      <c r="D15" s="788">
        <v>-60.674157303370791</v>
      </c>
      <c r="E15" s="788">
        <v>63.4</v>
      </c>
      <c r="F15" s="788">
        <v>571.5</v>
      </c>
      <c r="G15" s="788">
        <v>801.41955835962142</v>
      </c>
      <c r="H15" s="787">
        <v>1941</v>
      </c>
      <c r="I15" s="787">
        <v>1878</v>
      </c>
      <c r="J15" s="788">
        <v>-3.2457496136012365</v>
      </c>
      <c r="M15" s="58">
        <f t="shared" si="0"/>
        <v>1941</v>
      </c>
      <c r="N15" s="58">
        <f t="shared" si="0"/>
        <v>1878</v>
      </c>
      <c r="O15" s="700">
        <f t="shared" si="1"/>
        <v>801.41955835962142</v>
      </c>
      <c r="P15" s="59">
        <f t="shared" si="2"/>
        <v>63.4</v>
      </c>
      <c r="Q15" s="59">
        <f t="shared" si="2"/>
        <v>571.5</v>
      </c>
      <c r="R15" s="58">
        <f t="shared" si="3"/>
        <v>89</v>
      </c>
      <c r="S15" s="58">
        <f t="shared" si="4"/>
        <v>35</v>
      </c>
      <c r="T15" s="701" t="s">
        <v>72</v>
      </c>
      <c r="U15" s="118">
        <f t="shared" si="5"/>
        <v>0.36672227926078027</v>
      </c>
      <c r="X15" s="682" t="s">
        <v>112</v>
      </c>
      <c r="Y15" s="679">
        <v>64</v>
      </c>
      <c r="Z15" s="679">
        <v>49</v>
      </c>
      <c r="AA15" s="680">
        <v>-23.4375</v>
      </c>
      <c r="AB15" s="680">
        <v>32.4</v>
      </c>
      <c r="AC15" s="680">
        <v>120.8</v>
      </c>
      <c r="AD15" s="680">
        <v>272.83950617283949</v>
      </c>
      <c r="AE15" s="679">
        <v>678</v>
      </c>
      <c r="AF15" s="679">
        <v>1048</v>
      </c>
      <c r="AG15" s="680">
        <v>54.572271386430685</v>
      </c>
    </row>
    <row r="16" spans="1:33" ht="23.25" customHeight="1">
      <c r="A16" s="487" t="s">
        <v>114</v>
      </c>
      <c r="B16" s="787">
        <v>25</v>
      </c>
      <c r="C16" s="787">
        <v>33</v>
      </c>
      <c r="D16" s="788">
        <v>32</v>
      </c>
      <c r="E16" s="788">
        <v>24.5</v>
      </c>
      <c r="F16" s="788">
        <v>52.4</v>
      </c>
      <c r="G16" s="788">
        <v>113.87755102040815</v>
      </c>
      <c r="H16" s="787">
        <v>392</v>
      </c>
      <c r="I16" s="787">
        <v>877</v>
      </c>
      <c r="J16" s="788">
        <v>123.72448979591837</v>
      </c>
      <c r="M16" s="58">
        <f t="shared" si="0"/>
        <v>392</v>
      </c>
      <c r="N16" s="58">
        <f t="shared" si="0"/>
        <v>877</v>
      </c>
      <c r="O16" s="59">
        <f t="shared" si="1"/>
        <v>113.87755102040815</v>
      </c>
      <c r="P16" s="59">
        <f t="shared" si="2"/>
        <v>24.5</v>
      </c>
      <c r="Q16" s="59">
        <f t="shared" si="2"/>
        <v>52.4</v>
      </c>
      <c r="R16" s="58">
        <f t="shared" si="3"/>
        <v>25</v>
      </c>
      <c r="S16" s="58">
        <f t="shared" si="4"/>
        <v>33</v>
      </c>
      <c r="T16" s="29" t="s">
        <v>73</v>
      </c>
      <c r="U16" s="118">
        <f t="shared" si="5"/>
        <v>3.3624229979466118E-2</v>
      </c>
      <c r="X16" s="678" t="s">
        <v>113</v>
      </c>
      <c r="Y16" s="679">
        <v>89</v>
      </c>
      <c r="Z16" s="679">
        <v>35</v>
      </c>
      <c r="AA16" s="680">
        <v>-60.674157303370791</v>
      </c>
      <c r="AB16" s="680">
        <v>63.4</v>
      </c>
      <c r="AC16" s="680">
        <v>571.5</v>
      </c>
      <c r="AD16" s="680">
        <v>801.41955835962142</v>
      </c>
      <c r="AE16" s="679">
        <v>1941</v>
      </c>
      <c r="AF16" s="679">
        <v>1878</v>
      </c>
      <c r="AG16" s="680">
        <v>-3.2457496136012365</v>
      </c>
    </row>
    <row r="17" spans="1:33" ht="23.25" customHeight="1">
      <c r="A17" s="486" t="s">
        <v>115</v>
      </c>
      <c r="B17" s="787">
        <v>10</v>
      </c>
      <c r="C17" s="787">
        <v>6</v>
      </c>
      <c r="D17" s="788">
        <v>-40</v>
      </c>
      <c r="E17" s="788">
        <v>7.9</v>
      </c>
      <c r="F17" s="788">
        <v>2.2000000000000002</v>
      </c>
      <c r="G17" s="788">
        <v>-72.151898734177223</v>
      </c>
      <c r="H17" s="787">
        <v>253</v>
      </c>
      <c r="I17" s="787">
        <v>114</v>
      </c>
      <c r="J17" s="788">
        <v>-54.940711462450601</v>
      </c>
      <c r="M17" s="58">
        <f t="shared" si="0"/>
        <v>253</v>
      </c>
      <c r="N17" s="58">
        <f t="shared" si="0"/>
        <v>114</v>
      </c>
      <c r="O17" s="490">
        <f t="shared" si="1"/>
        <v>-72.151898734177223</v>
      </c>
      <c r="P17" s="59">
        <f t="shared" si="2"/>
        <v>7.9</v>
      </c>
      <c r="Q17" s="59">
        <f t="shared" si="2"/>
        <v>2.2000000000000002</v>
      </c>
      <c r="R17" s="58">
        <f t="shared" si="3"/>
        <v>10</v>
      </c>
      <c r="S17" s="58">
        <f t="shared" si="4"/>
        <v>6</v>
      </c>
      <c r="T17" s="492" t="s">
        <v>74</v>
      </c>
      <c r="U17" s="118">
        <f t="shared" si="5"/>
        <v>1.4117043121149898E-3</v>
      </c>
      <c r="X17" s="678" t="s">
        <v>114</v>
      </c>
      <c r="Y17" s="679">
        <v>25</v>
      </c>
      <c r="Z17" s="679">
        <v>33</v>
      </c>
      <c r="AA17" s="680">
        <v>32</v>
      </c>
      <c r="AB17" s="680">
        <v>24.5</v>
      </c>
      <c r="AC17" s="680">
        <v>52.4</v>
      </c>
      <c r="AD17" s="680">
        <v>113.87755102040815</v>
      </c>
      <c r="AE17" s="679">
        <v>392</v>
      </c>
      <c r="AF17" s="679">
        <v>877</v>
      </c>
      <c r="AG17" s="680">
        <v>123.72448979591837</v>
      </c>
    </row>
    <row r="18" spans="1:33" ht="23.25" customHeight="1">
      <c r="A18" s="487" t="s">
        <v>116</v>
      </c>
      <c r="B18" s="787">
        <v>33</v>
      </c>
      <c r="C18" s="787">
        <v>16</v>
      </c>
      <c r="D18" s="788">
        <v>-51.515151515151516</v>
      </c>
      <c r="E18" s="788">
        <v>31.5</v>
      </c>
      <c r="F18" s="788">
        <v>35.6</v>
      </c>
      <c r="G18" s="788">
        <v>13.015873015873014</v>
      </c>
      <c r="H18" s="787">
        <v>562</v>
      </c>
      <c r="I18" s="787">
        <v>224</v>
      </c>
      <c r="J18" s="788">
        <v>-60.142348754448392</v>
      </c>
      <c r="M18" s="58">
        <f t="shared" si="0"/>
        <v>562</v>
      </c>
      <c r="N18" s="58">
        <f t="shared" si="0"/>
        <v>224</v>
      </c>
      <c r="O18" s="59">
        <f t="shared" si="1"/>
        <v>13.015873015873014</v>
      </c>
      <c r="P18" s="59">
        <f t="shared" si="2"/>
        <v>31.5</v>
      </c>
      <c r="Q18" s="59">
        <f t="shared" si="2"/>
        <v>35.6</v>
      </c>
      <c r="R18" s="58">
        <f t="shared" si="3"/>
        <v>33</v>
      </c>
      <c r="S18" s="58">
        <f t="shared" si="4"/>
        <v>16</v>
      </c>
      <c r="T18" s="29" t="s">
        <v>75</v>
      </c>
      <c r="U18" s="118">
        <f t="shared" si="5"/>
        <v>2.2843942505133469E-2</v>
      </c>
      <c r="X18" s="681" t="s">
        <v>115</v>
      </c>
      <c r="Y18" s="679">
        <v>10</v>
      </c>
      <c r="Z18" s="679">
        <v>6</v>
      </c>
      <c r="AA18" s="680">
        <v>-40</v>
      </c>
      <c r="AB18" s="680">
        <v>7.9</v>
      </c>
      <c r="AC18" s="680">
        <v>2.2000000000000002</v>
      </c>
      <c r="AD18" s="680">
        <v>-72.151898734177223</v>
      </c>
      <c r="AE18" s="679">
        <v>253</v>
      </c>
      <c r="AF18" s="679">
        <v>114</v>
      </c>
      <c r="AG18" s="680">
        <v>-54.940711462450601</v>
      </c>
    </row>
    <row r="19" spans="1:33" ht="23.25" customHeight="1">
      <c r="A19" s="484" t="s">
        <v>117</v>
      </c>
      <c r="B19" s="787">
        <v>78</v>
      </c>
      <c r="C19" s="787">
        <v>60</v>
      </c>
      <c r="D19" s="788">
        <v>-23.076923076923077</v>
      </c>
      <c r="E19" s="788">
        <v>22.7</v>
      </c>
      <c r="F19" s="788">
        <v>29.4</v>
      </c>
      <c r="G19" s="788">
        <v>29.51541850220265</v>
      </c>
      <c r="H19" s="787">
        <v>604</v>
      </c>
      <c r="I19" s="787">
        <v>768</v>
      </c>
      <c r="J19" s="788">
        <v>27.152317880794701</v>
      </c>
      <c r="M19" s="58">
        <f t="shared" si="0"/>
        <v>604</v>
      </c>
      <c r="N19" s="58">
        <f t="shared" si="0"/>
        <v>768</v>
      </c>
      <c r="O19" s="59">
        <f t="shared" si="1"/>
        <v>29.51541850220265</v>
      </c>
      <c r="P19" s="59">
        <f t="shared" si="2"/>
        <v>22.7</v>
      </c>
      <c r="Q19" s="59">
        <f t="shared" si="2"/>
        <v>29.4</v>
      </c>
      <c r="R19" s="58">
        <f t="shared" si="3"/>
        <v>78</v>
      </c>
      <c r="S19" s="58">
        <f t="shared" si="4"/>
        <v>60</v>
      </c>
      <c r="T19" s="27" t="s">
        <v>76</v>
      </c>
      <c r="U19" s="118">
        <f t="shared" si="5"/>
        <v>1.8865503080082134E-2</v>
      </c>
      <c r="X19" s="678" t="s">
        <v>116</v>
      </c>
      <c r="Y19" s="679">
        <v>33</v>
      </c>
      <c r="Z19" s="679">
        <v>16</v>
      </c>
      <c r="AA19" s="680">
        <v>-51.515151515151516</v>
      </c>
      <c r="AB19" s="680">
        <v>31.5</v>
      </c>
      <c r="AC19" s="680">
        <v>35.6</v>
      </c>
      <c r="AD19" s="680">
        <v>13.015873015873014</v>
      </c>
      <c r="AE19" s="679">
        <v>562</v>
      </c>
      <c r="AF19" s="679">
        <v>224</v>
      </c>
      <c r="AG19" s="680">
        <v>-60.142348754448392</v>
      </c>
    </row>
    <row r="20" spans="1:33" ht="23.25" customHeight="1">
      <c r="A20" s="487" t="s">
        <v>118</v>
      </c>
      <c r="B20" s="787">
        <v>121</v>
      </c>
      <c r="C20" s="787">
        <v>97</v>
      </c>
      <c r="D20" s="788">
        <v>-19.834710743801654</v>
      </c>
      <c r="E20" s="788">
        <v>309.5</v>
      </c>
      <c r="F20" s="788">
        <v>279.3</v>
      </c>
      <c r="G20" s="788">
        <v>-9.757673667205168</v>
      </c>
      <c r="H20" s="787">
        <v>4733</v>
      </c>
      <c r="I20" s="787">
        <v>2672</v>
      </c>
      <c r="J20" s="788">
        <v>-43.545320092964296</v>
      </c>
      <c r="M20" s="58">
        <f t="shared" si="0"/>
        <v>4733</v>
      </c>
      <c r="N20" s="58">
        <f t="shared" si="0"/>
        <v>2672</v>
      </c>
      <c r="O20" s="490">
        <f t="shared" si="1"/>
        <v>-9.757673667205168</v>
      </c>
      <c r="P20" s="59">
        <f t="shared" si="2"/>
        <v>309.5</v>
      </c>
      <c r="Q20" s="59">
        <f t="shared" si="2"/>
        <v>279.3</v>
      </c>
      <c r="R20" s="58">
        <f t="shared" si="3"/>
        <v>121</v>
      </c>
      <c r="S20" s="58">
        <f t="shared" si="4"/>
        <v>97</v>
      </c>
      <c r="T20" s="493" t="s">
        <v>77</v>
      </c>
      <c r="U20" s="118">
        <f t="shared" si="5"/>
        <v>0.17922227926078027</v>
      </c>
      <c r="X20" s="678" t="s">
        <v>117</v>
      </c>
      <c r="Y20" s="679">
        <v>78</v>
      </c>
      <c r="Z20" s="679">
        <v>60</v>
      </c>
      <c r="AA20" s="680">
        <v>-23.076923076923077</v>
      </c>
      <c r="AB20" s="680">
        <v>22.7</v>
      </c>
      <c r="AC20" s="680">
        <v>29.4</v>
      </c>
      <c r="AD20" s="680">
        <v>29.51541850220265</v>
      </c>
      <c r="AE20" s="679">
        <v>604</v>
      </c>
      <c r="AF20" s="679">
        <v>768</v>
      </c>
      <c r="AG20" s="680">
        <v>27.152317880794701</v>
      </c>
    </row>
    <row r="21" spans="1:33" ht="23.25" customHeight="1">
      <c r="A21" s="698" t="s">
        <v>119</v>
      </c>
      <c r="B21" s="845">
        <f>SUM(B3:B20)</f>
        <v>834</v>
      </c>
      <c r="C21" s="845">
        <f>SUM(C3:C20)</f>
        <v>679</v>
      </c>
      <c r="D21" s="844">
        <v>-18.585131894484412</v>
      </c>
      <c r="E21" s="844">
        <f>SUM(E3:E20)</f>
        <v>1083.9000000000001</v>
      </c>
      <c r="F21" s="844">
        <f>SUM(F3:F20)</f>
        <v>1558.4</v>
      </c>
      <c r="G21" s="844">
        <v>43.777101208598573</v>
      </c>
      <c r="H21" s="845">
        <f>SUM(H3:H20)</f>
        <v>20660</v>
      </c>
      <c r="I21" s="845">
        <f>SUM(I3:I20)</f>
        <v>16962</v>
      </c>
      <c r="J21" s="844">
        <v>-17.899322362052274</v>
      </c>
      <c r="M21" s="395">
        <f>H21</f>
        <v>20660</v>
      </c>
      <c r="N21" s="395">
        <f>I21</f>
        <v>16962</v>
      </c>
      <c r="O21" s="395">
        <f>+G21</f>
        <v>43.777101208598573</v>
      </c>
      <c r="P21" s="396">
        <f>E21</f>
        <v>1083.9000000000001</v>
      </c>
      <c r="Q21" s="396">
        <f>F21</f>
        <v>1558.4</v>
      </c>
      <c r="R21" s="30">
        <f t="shared" si="3"/>
        <v>834</v>
      </c>
      <c r="S21" s="30">
        <f>C21</f>
        <v>679</v>
      </c>
      <c r="T21" s="495" t="s">
        <v>59</v>
      </c>
      <c r="X21" s="678" t="s">
        <v>118</v>
      </c>
      <c r="Y21" s="679">
        <v>121</v>
      </c>
      <c r="Z21" s="679">
        <v>97</v>
      </c>
      <c r="AA21" s="680">
        <v>-19.834710743801654</v>
      </c>
      <c r="AB21" s="680">
        <v>309.5</v>
      </c>
      <c r="AC21" s="680">
        <v>279.3</v>
      </c>
      <c r="AD21" s="680">
        <v>-9.757673667205168</v>
      </c>
      <c r="AE21" s="679">
        <v>4733</v>
      </c>
      <c r="AF21" s="679">
        <v>2672</v>
      </c>
      <c r="AG21" s="680">
        <v>-43.545320092964296</v>
      </c>
    </row>
    <row r="22" spans="1:33" ht="19.5">
      <c r="A22" s="483" t="s">
        <v>120</v>
      </c>
      <c r="B22" s="846">
        <v>0.30299999999999999</v>
      </c>
      <c r="C22" s="846">
        <v>0.28661882650907555</v>
      </c>
      <c r="D22" s="847" t="s">
        <v>0</v>
      </c>
      <c r="E22" s="846">
        <v>0.41</v>
      </c>
      <c r="F22" s="846">
        <v>0.6257126796755802</v>
      </c>
      <c r="G22" s="847" t="s">
        <v>0</v>
      </c>
      <c r="H22" s="846">
        <v>0.42399999999999999</v>
      </c>
      <c r="I22" s="847">
        <v>0.40647990606053347</v>
      </c>
      <c r="J22" s="847" t="s">
        <v>0</v>
      </c>
      <c r="M22" s="496">
        <f>H22</f>
        <v>0.42399999999999999</v>
      </c>
      <c r="N22" s="496">
        <f>I22</f>
        <v>0.40647990606053347</v>
      </c>
      <c r="O22" s="496" t="str">
        <f>+G22</f>
        <v>-</v>
      </c>
      <c r="P22" s="496">
        <f>E22</f>
        <v>0.41</v>
      </c>
      <c r="Q22" s="496">
        <f>F22</f>
        <v>0.6257126796755802</v>
      </c>
      <c r="R22" s="496">
        <f t="shared" si="3"/>
        <v>0.30299999999999999</v>
      </c>
      <c r="S22" s="496">
        <f>C22</f>
        <v>0.28661882650907555</v>
      </c>
      <c r="T22" s="497" t="s">
        <v>78</v>
      </c>
      <c r="X22" s="683" t="s">
        <v>119</v>
      </c>
      <c r="Y22" s="684">
        <v>834</v>
      </c>
      <c r="Z22" s="684">
        <v>679</v>
      </c>
      <c r="AA22" s="685">
        <v>-18.585131894484412</v>
      </c>
      <c r="AB22" s="686">
        <v>1083.9000000000001</v>
      </c>
      <c r="AC22" s="686">
        <v>1558.4</v>
      </c>
      <c r="AD22" s="686">
        <v>43.777101208598573</v>
      </c>
      <c r="AE22" s="687">
        <v>20660</v>
      </c>
      <c r="AF22" s="687">
        <v>16962</v>
      </c>
      <c r="AG22" s="686">
        <v>-17.899322362052274</v>
      </c>
    </row>
    <row r="23" spans="1:33">
      <c r="X23" s="688" t="s">
        <v>120</v>
      </c>
      <c r="Y23" s="689">
        <v>0.30299999999999999</v>
      </c>
      <c r="Z23" s="689">
        <v>0.28661882650907555</v>
      </c>
      <c r="AA23" s="690" t="s">
        <v>0</v>
      </c>
      <c r="AB23" s="689">
        <v>0.41</v>
      </c>
      <c r="AC23" s="689">
        <v>0.6257126796755802</v>
      </c>
      <c r="AD23" s="690" t="s">
        <v>0</v>
      </c>
      <c r="AE23" s="689">
        <v>0.42399999999999999</v>
      </c>
      <c r="AF23" s="691">
        <v>0.40647990606053347</v>
      </c>
      <c r="AG23" s="690" t="s">
        <v>0</v>
      </c>
    </row>
    <row r="24" spans="1:33">
      <c r="O24" s="118">
        <f>Q15/Q21</f>
        <v>0.36672227926078027</v>
      </c>
      <c r="P24">
        <f>37+18</f>
        <v>55</v>
      </c>
      <c r="X24" s="692"/>
      <c r="Y24" s="692"/>
      <c r="Z24" s="692"/>
      <c r="AA24" s="692"/>
      <c r="AB24" s="692"/>
      <c r="AC24" s="692"/>
      <c r="AD24" s="692"/>
      <c r="AE24" s="692"/>
      <c r="AF24" s="692"/>
      <c r="AG24" s="692"/>
    </row>
    <row r="25" spans="1:33">
      <c r="O25">
        <v>18</v>
      </c>
      <c r="X25" s="693" t="s">
        <v>375</v>
      </c>
      <c r="Y25" s="694"/>
      <c r="Z25" s="694"/>
      <c r="AA25" s="694"/>
      <c r="AB25" s="694"/>
      <c r="AC25" s="694"/>
      <c r="AD25" s="694"/>
      <c r="AE25" s="694"/>
      <c r="AF25" s="694"/>
      <c r="AG25" s="694"/>
    </row>
    <row r="26" spans="1:33">
      <c r="O26" s="702"/>
      <c r="X26" s="693" t="s">
        <v>376</v>
      </c>
      <c r="Y26" s="694"/>
      <c r="Z26" s="694"/>
      <c r="AA26" s="694"/>
      <c r="AB26" s="694"/>
      <c r="AC26" s="694"/>
      <c r="AD26" s="694"/>
      <c r="AE26" s="694"/>
      <c r="AF26" s="694"/>
      <c r="AG26" s="694"/>
    </row>
    <row r="27" spans="1:33" ht="18.75" customHeight="1">
      <c r="T27">
        <v>1</v>
      </c>
      <c r="X27" s="695"/>
      <c r="Y27" s="695"/>
      <c r="Z27" s="695"/>
      <c r="AA27" s="695"/>
      <c r="AB27" s="695"/>
      <c r="AC27" s="695"/>
      <c r="AD27" s="695"/>
      <c r="AE27" s="695"/>
      <c r="AF27" s="695"/>
      <c r="AG27" s="695"/>
    </row>
    <row r="28" spans="1:33">
      <c r="E28" t="s">
        <v>383</v>
      </c>
      <c r="F28" t="s">
        <v>367</v>
      </c>
      <c r="X28" s="696" t="s">
        <v>377</v>
      </c>
      <c r="Y28" s="696"/>
      <c r="Z28" s="696"/>
      <c r="AA28" s="696"/>
      <c r="AB28" s="697"/>
      <c r="AC28" s="697"/>
      <c r="AD28" s="697"/>
      <c r="AE28" s="697"/>
      <c r="AF28" s="697"/>
      <c r="AG28" s="697"/>
    </row>
    <row r="29" spans="1:33">
      <c r="C29" t="s">
        <v>331</v>
      </c>
      <c r="E29" s="394">
        <f>F21</f>
        <v>1558.4</v>
      </c>
      <c r="F29" s="394">
        <f>E21</f>
        <v>1083.9000000000001</v>
      </c>
    </row>
    <row r="31" spans="1:33" ht="15" customHeight="1"/>
    <row r="37" spans="4:6">
      <c r="D37">
        <v>2641.5</v>
      </c>
      <c r="E37">
        <v>2490.6</v>
      </c>
    </row>
    <row r="38" spans="4:6">
      <c r="D38">
        <f>310.1+386.2+130.1</f>
        <v>826.4</v>
      </c>
      <c r="E38">
        <f>710.8+503.2+229.7</f>
        <v>1443.7</v>
      </c>
    </row>
    <row r="40" spans="4:6">
      <c r="D40" s="118">
        <f>D38/D37</f>
        <v>0.31285254590194966</v>
      </c>
      <c r="E40" s="118">
        <f>E38/E37</f>
        <v>0.57965951979442709</v>
      </c>
    </row>
    <row r="41" spans="4:6">
      <c r="D41" s="118"/>
      <c r="E41" s="118"/>
      <c r="F41">
        <f>2490.6*2/3</f>
        <v>1660.3999999999999</v>
      </c>
    </row>
    <row r="42" spans="4:6">
      <c r="F42">
        <f>E37*1/3</f>
        <v>830.19999999999993</v>
      </c>
    </row>
  </sheetData>
  <mergeCells count="6">
    <mergeCell ref="B1:D1"/>
    <mergeCell ref="R1:S1"/>
    <mergeCell ref="M1:N1"/>
    <mergeCell ref="E1:G1"/>
    <mergeCell ref="O1:Q1"/>
    <mergeCell ref="H1:J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AK57"/>
  <sheetViews>
    <sheetView workbookViewId="0">
      <selection activeCell="B2" sqref="B2:G13"/>
    </sheetView>
  </sheetViews>
  <sheetFormatPr baseColWidth="10" defaultRowHeight="15"/>
  <cols>
    <col min="1" max="1" width="2.85546875" customWidth="1"/>
    <col min="2" max="3" width="20.85546875" customWidth="1"/>
    <col min="4" max="4" width="16.28515625" customWidth="1"/>
    <col min="5" max="5" width="15" bestFit="1" customWidth="1"/>
    <col min="6" max="6" width="17.140625" customWidth="1"/>
    <col min="7" max="7" width="21" customWidth="1"/>
    <col min="8" max="8" width="21" style="1" customWidth="1"/>
    <col min="9" max="9" width="14.42578125" customWidth="1"/>
    <col min="10" max="11" width="16.7109375" customWidth="1"/>
    <col min="12" max="12" width="19.85546875" customWidth="1"/>
    <col min="13" max="13" width="17.140625" customWidth="1"/>
    <col min="14" max="14" width="40.140625" customWidth="1"/>
    <col min="15" max="15" width="13.85546875" customWidth="1"/>
    <col min="16" max="17" width="15.7109375" customWidth="1"/>
    <col min="18" max="21" width="15.42578125" customWidth="1"/>
    <col min="22" max="22" width="14.28515625" customWidth="1"/>
    <col min="23" max="23" width="16.5703125" customWidth="1"/>
    <col min="24" max="24" width="38.5703125" customWidth="1"/>
    <col min="27" max="32" width="20.5703125" customWidth="1"/>
    <col min="33" max="33" width="38.5703125" customWidth="1"/>
    <col min="34" max="34" width="16.140625" customWidth="1"/>
  </cols>
  <sheetData>
    <row r="2" spans="2:17" ht="21">
      <c r="B2" s="989" t="s">
        <v>39</v>
      </c>
      <c r="C2" s="989"/>
      <c r="D2" s="989"/>
      <c r="E2" s="989"/>
      <c r="F2" s="989"/>
      <c r="G2" s="989"/>
      <c r="I2" s="989" t="s">
        <v>38</v>
      </c>
      <c r="J2" s="989"/>
      <c r="K2" s="989"/>
      <c r="L2" s="989"/>
      <c r="M2" s="989"/>
      <c r="N2" s="989"/>
    </row>
    <row r="3" spans="2:17" ht="9" customHeight="1">
      <c r="B3" s="789"/>
      <c r="C3" s="789"/>
      <c r="D3" s="789"/>
      <c r="E3" s="789"/>
      <c r="F3" s="789"/>
      <c r="G3" s="789"/>
      <c r="I3" s="1"/>
      <c r="J3" s="1"/>
      <c r="K3" s="1"/>
      <c r="L3" s="1"/>
      <c r="M3" s="1"/>
      <c r="N3" s="1"/>
    </row>
    <row r="4" spans="2:17" ht="18.75">
      <c r="B4" s="1"/>
      <c r="C4" s="18" t="s">
        <v>363</v>
      </c>
      <c r="D4" s="18" t="s">
        <v>351</v>
      </c>
      <c r="E4" s="18" t="s">
        <v>352</v>
      </c>
      <c r="F4" s="406" t="s">
        <v>225</v>
      </c>
      <c r="G4" s="406" t="s">
        <v>181</v>
      </c>
      <c r="I4" s="406" t="s">
        <v>225</v>
      </c>
      <c r="J4" s="406" t="s">
        <v>181</v>
      </c>
      <c r="K4" s="7" t="s">
        <v>354</v>
      </c>
      <c r="L4" s="7" t="s">
        <v>353</v>
      </c>
      <c r="M4" s="7" t="s">
        <v>364</v>
      </c>
      <c r="N4" s="1"/>
    </row>
    <row r="5" spans="2:17" ht="21">
      <c r="B5" s="854" t="s">
        <v>21</v>
      </c>
      <c r="C5" s="855">
        <f>SUM(C6:C12)</f>
        <v>1713.3999999999999</v>
      </c>
      <c r="D5" s="855">
        <f>SUM(D6:D12)</f>
        <v>2641.4999999999995</v>
      </c>
      <c r="E5" s="855">
        <f>SUM(E6:E12)</f>
        <v>2490.6</v>
      </c>
      <c r="F5" s="856">
        <f t="shared" ref="F5:F12" si="0">E5/C5-1</f>
        <v>0.45360102719738538</v>
      </c>
      <c r="G5" s="856">
        <f t="shared" ref="G5:G12" si="1">E5/D5-1</f>
        <v>-5.71266325951163E-2</v>
      </c>
      <c r="I5" s="8">
        <f>F5</f>
        <v>0.45360102719738538</v>
      </c>
      <c r="J5" s="8">
        <f>G5</f>
        <v>-5.71266325951163E-2</v>
      </c>
      <c r="K5" s="507">
        <f t="shared" ref="K5:K12" si="2">E5</f>
        <v>2490.6</v>
      </c>
      <c r="L5" s="507">
        <f t="shared" ref="L5:L12" si="3">D5</f>
        <v>2641.4999999999995</v>
      </c>
      <c r="M5" s="507">
        <f>C5</f>
        <v>1713.3999999999999</v>
      </c>
      <c r="N5" s="25" t="s">
        <v>30</v>
      </c>
    </row>
    <row r="6" spans="2:17" s="265" customFormat="1" ht="18.75">
      <c r="B6" s="741" t="s">
        <v>24</v>
      </c>
      <c r="C6" s="743">
        <v>240.1</v>
      </c>
      <c r="D6" s="743">
        <v>310.10000000000002</v>
      </c>
      <c r="E6" s="743">
        <v>710.8</v>
      </c>
      <c r="F6" s="305">
        <f t="shared" si="0"/>
        <v>1.9604331528529779</v>
      </c>
      <c r="G6" s="305">
        <f t="shared" si="1"/>
        <v>1.2921638181231856</v>
      </c>
      <c r="I6" s="305">
        <f>F6</f>
        <v>1.9604331528529779</v>
      </c>
      <c r="J6" s="305">
        <f>G6</f>
        <v>1.2921638181231856</v>
      </c>
      <c r="K6" s="743">
        <f t="shared" si="2"/>
        <v>710.8</v>
      </c>
      <c r="L6" s="743">
        <f t="shared" si="3"/>
        <v>310.10000000000002</v>
      </c>
      <c r="M6" s="743">
        <f>C6</f>
        <v>240.1</v>
      </c>
      <c r="N6" s="132" t="s">
        <v>33</v>
      </c>
    </row>
    <row r="7" spans="2:17" s="265" customFormat="1" ht="18.75">
      <c r="B7" s="741" t="s">
        <v>22</v>
      </c>
      <c r="C7" s="743">
        <v>407.5</v>
      </c>
      <c r="D7" s="743">
        <v>1091.4000000000001</v>
      </c>
      <c r="E7" s="743">
        <v>579.20000000000005</v>
      </c>
      <c r="F7" s="305">
        <f t="shared" si="0"/>
        <v>0.42134969325153393</v>
      </c>
      <c r="G7" s="306">
        <f t="shared" si="1"/>
        <v>-0.46930547920102617</v>
      </c>
      <c r="I7" s="305">
        <f t="shared" ref="I7:I12" si="4">F7</f>
        <v>0.42134969325153393</v>
      </c>
      <c r="J7" s="306">
        <f t="shared" ref="J7:J12" si="5">G7</f>
        <v>-0.46930547920102617</v>
      </c>
      <c r="K7" s="743">
        <f t="shared" si="2"/>
        <v>579.20000000000005</v>
      </c>
      <c r="L7" s="743">
        <f t="shared" si="3"/>
        <v>1091.4000000000001</v>
      </c>
      <c r="M7" s="743">
        <f t="shared" ref="M7:M12" si="6">C7</f>
        <v>407.5</v>
      </c>
      <c r="N7" s="132" t="s">
        <v>31</v>
      </c>
    </row>
    <row r="8" spans="2:17" s="266" customFormat="1" ht="18.75">
      <c r="B8" s="741" t="s">
        <v>25</v>
      </c>
      <c r="C8" s="743">
        <v>348.2</v>
      </c>
      <c r="D8" s="743">
        <v>386.2</v>
      </c>
      <c r="E8" s="743">
        <v>503.2</v>
      </c>
      <c r="F8" s="305">
        <f t="shared" si="0"/>
        <v>0.44514646754738663</v>
      </c>
      <c r="G8" s="305">
        <f t="shared" si="1"/>
        <v>0.30295183842568618</v>
      </c>
      <c r="I8" s="305">
        <f t="shared" si="4"/>
        <v>0.44514646754738663</v>
      </c>
      <c r="J8" s="305">
        <f t="shared" si="5"/>
        <v>0.30295183842568618</v>
      </c>
      <c r="K8" s="743">
        <f t="shared" si="2"/>
        <v>503.2</v>
      </c>
      <c r="L8" s="743">
        <f t="shared" si="3"/>
        <v>386.2</v>
      </c>
      <c r="M8" s="743">
        <f t="shared" si="6"/>
        <v>348.2</v>
      </c>
      <c r="N8" s="132" t="s">
        <v>34</v>
      </c>
      <c r="P8" s="309"/>
      <c r="Q8" s="309"/>
    </row>
    <row r="9" spans="2:17" s="266" customFormat="1" ht="18.75">
      <c r="B9" s="741" t="s">
        <v>23</v>
      </c>
      <c r="C9" s="743">
        <v>273.7</v>
      </c>
      <c r="D9" s="743">
        <v>537.5</v>
      </c>
      <c r="E9" s="743">
        <v>365.3</v>
      </c>
      <c r="F9" s="305">
        <f t="shared" si="0"/>
        <v>0.33467299963463648</v>
      </c>
      <c r="G9" s="306">
        <f t="shared" si="1"/>
        <v>-0.32037209302325576</v>
      </c>
      <c r="H9" s="318"/>
      <c r="I9" s="305">
        <f t="shared" si="4"/>
        <v>0.33467299963463648</v>
      </c>
      <c r="J9" s="306">
        <f t="shared" si="5"/>
        <v>-0.32037209302325576</v>
      </c>
      <c r="K9" s="743">
        <f t="shared" si="2"/>
        <v>365.3</v>
      </c>
      <c r="L9" s="743">
        <f t="shared" si="3"/>
        <v>537.5</v>
      </c>
      <c r="M9" s="743">
        <f t="shared" si="6"/>
        <v>273.7</v>
      </c>
      <c r="N9" s="132" t="s">
        <v>32</v>
      </c>
      <c r="O9" s="318"/>
      <c r="P9" s="308"/>
      <c r="Q9" s="308"/>
    </row>
    <row r="10" spans="2:17" s="266" customFormat="1" ht="18.75">
      <c r="B10" s="741" t="s">
        <v>26</v>
      </c>
      <c r="C10" s="743">
        <v>231</v>
      </c>
      <c r="D10" s="743">
        <v>130.1</v>
      </c>
      <c r="E10" s="743">
        <v>229.7</v>
      </c>
      <c r="F10" s="306">
        <f t="shared" si="0"/>
        <v>-5.6277056277056481E-3</v>
      </c>
      <c r="G10" s="305">
        <f t="shared" si="1"/>
        <v>0.76556495003843206</v>
      </c>
      <c r="I10" s="306">
        <f t="shared" si="4"/>
        <v>-5.6277056277056481E-3</v>
      </c>
      <c r="J10" s="305">
        <f t="shared" si="5"/>
        <v>0.76556495003843206</v>
      </c>
      <c r="K10" s="743">
        <f t="shared" si="2"/>
        <v>229.7</v>
      </c>
      <c r="L10" s="743">
        <f t="shared" si="3"/>
        <v>130.1</v>
      </c>
      <c r="M10" s="743">
        <f t="shared" si="6"/>
        <v>231</v>
      </c>
      <c r="N10" s="132" t="s">
        <v>94</v>
      </c>
      <c r="O10" s="308"/>
    </row>
    <row r="11" spans="2:17" s="266" customFormat="1" ht="18.75">
      <c r="B11" s="741" t="s">
        <v>27</v>
      </c>
      <c r="C11" s="743">
        <v>191.3</v>
      </c>
      <c r="D11" s="743">
        <v>144.1</v>
      </c>
      <c r="E11" s="743">
        <v>89.4</v>
      </c>
      <c r="F11" s="306">
        <f t="shared" si="0"/>
        <v>-0.53267119707266075</v>
      </c>
      <c r="G11" s="306">
        <f t="shared" si="1"/>
        <v>-0.37959750173490625</v>
      </c>
      <c r="I11" s="306">
        <f t="shared" si="4"/>
        <v>-0.53267119707266075</v>
      </c>
      <c r="J11" s="306">
        <f t="shared" si="5"/>
        <v>-0.37959750173490625</v>
      </c>
      <c r="K11" s="743">
        <f t="shared" si="2"/>
        <v>89.4</v>
      </c>
      <c r="L11" s="743">
        <f t="shared" si="3"/>
        <v>144.1</v>
      </c>
      <c r="M11" s="743">
        <f t="shared" si="6"/>
        <v>191.3</v>
      </c>
      <c r="N11" s="132" t="s">
        <v>36</v>
      </c>
    </row>
    <row r="12" spans="2:17" s="266" customFormat="1" ht="18.75">
      <c r="B12" s="741" t="s">
        <v>28</v>
      </c>
      <c r="C12" s="743">
        <v>21.6</v>
      </c>
      <c r="D12" s="743">
        <v>42.1</v>
      </c>
      <c r="E12" s="743">
        <v>13</v>
      </c>
      <c r="F12" s="306">
        <f t="shared" si="0"/>
        <v>-0.39814814814814814</v>
      </c>
      <c r="G12" s="306">
        <f t="shared" si="1"/>
        <v>-0.69121140142517823</v>
      </c>
      <c r="I12" s="306">
        <f t="shared" si="4"/>
        <v>-0.39814814814814814</v>
      </c>
      <c r="J12" s="306">
        <f t="shared" si="5"/>
        <v>-0.69121140142517823</v>
      </c>
      <c r="K12" s="743">
        <f t="shared" si="2"/>
        <v>13</v>
      </c>
      <c r="L12" s="743">
        <f t="shared" si="3"/>
        <v>42.1</v>
      </c>
      <c r="M12" s="743">
        <f t="shared" si="6"/>
        <v>21.6</v>
      </c>
      <c r="N12" s="132" t="s">
        <v>37</v>
      </c>
      <c r="O12" s="267"/>
    </row>
    <row r="13" spans="2:17" ht="9" customHeight="1">
      <c r="B13" s="98"/>
      <c r="C13" s="98"/>
      <c r="D13" s="50"/>
      <c r="E13" s="50"/>
      <c r="F13" s="50"/>
      <c r="G13" s="50"/>
      <c r="I13" s="98"/>
      <c r="J13" s="50"/>
      <c r="K13" s="50"/>
      <c r="L13" s="50"/>
      <c r="M13" s="50"/>
      <c r="N13" s="50"/>
    </row>
    <row r="14" spans="2:17" ht="18.75">
      <c r="B14" s="990"/>
      <c r="C14" s="990"/>
      <c r="D14" s="990"/>
      <c r="E14" s="990"/>
      <c r="F14" s="990"/>
      <c r="G14" s="990"/>
      <c r="H14" s="13"/>
      <c r="I14" s="1"/>
      <c r="J14" s="1"/>
      <c r="K14" s="1"/>
      <c r="L14" s="1"/>
      <c r="M14" s="1"/>
      <c r="N14" s="1"/>
    </row>
    <row r="15" spans="2:17"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  <c r="O15" s="1"/>
    </row>
    <row r="29" spans="2:24" ht="26.25" customHeight="1">
      <c r="B29" s="991" t="s">
        <v>226</v>
      </c>
      <c r="C29" s="991"/>
      <c r="D29" s="991"/>
      <c r="E29" s="991"/>
      <c r="F29" s="991"/>
      <c r="G29" s="991"/>
      <c r="H29" s="991"/>
      <c r="I29" s="991"/>
      <c r="J29" s="991"/>
      <c r="K29" s="991"/>
      <c r="L29" s="991"/>
      <c r="O29" s="992" t="s">
        <v>369</v>
      </c>
      <c r="P29" s="993"/>
      <c r="Q29" s="993"/>
      <c r="R29" s="993"/>
      <c r="S29" s="993"/>
      <c r="T29" s="993"/>
      <c r="U29" s="993"/>
      <c r="V29" s="993"/>
      <c r="W29" s="993"/>
      <c r="X29" s="994"/>
    </row>
    <row r="30" spans="2:24" ht="11.25" customHeight="1">
      <c r="B30" s="1001"/>
      <c r="C30" s="1001"/>
      <c r="D30" s="1001"/>
      <c r="E30" s="1001"/>
      <c r="F30" s="1001"/>
      <c r="G30" s="1001"/>
      <c r="H30" s="1001"/>
      <c r="I30" s="1001"/>
      <c r="J30" s="99"/>
      <c r="K30" s="99"/>
      <c r="O30" s="794"/>
      <c r="P30" s="795"/>
      <c r="Q30" s="795"/>
      <c r="R30" s="795"/>
      <c r="S30" s="795"/>
      <c r="T30" s="795"/>
      <c r="U30" s="795"/>
      <c r="V30" s="795"/>
      <c r="W30" s="795"/>
      <c r="X30" s="796"/>
    </row>
    <row r="31" spans="2:24" ht="23.25" customHeight="1">
      <c r="B31" s="24"/>
      <c r="C31" s="24"/>
      <c r="D31" s="1002" t="s">
        <v>47</v>
      </c>
      <c r="E31" s="1002"/>
      <c r="F31" s="1003"/>
      <c r="G31" s="1002" t="s">
        <v>227</v>
      </c>
      <c r="H31" s="1002"/>
      <c r="I31" s="786"/>
      <c r="J31" s="1002" t="s">
        <v>48</v>
      </c>
      <c r="K31" s="1002"/>
      <c r="L31" s="1002"/>
      <c r="O31" s="998" t="s">
        <v>49</v>
      </c>
      <c r="P31" s="999"/>
      <c r="Q31" s="1000"/>
      <c r="R31" s="995" t="s">
        <v>50</v>
      </c>
      <c r="S31" s="996"/>
      <c r="T31" s="997"/>
      <c r="U31" s="995" t="s">
        <v>51</v>
      </c>
      <c r="V31" s="996"/>
      <c r="W31" s="997"/>
      <c r="X31" s="666"/>
    </row>
    <row r="32" spans="2:24" ht="19.5" customHeight="1">
      <c r="B32" s="815"/>
      <c r="C32" s="815"/>
      <c r="D32" s="820" t="s">
        <v>363</v>
      </c>
      <c r="E32" s="816" t="s">
        <v>351</v>
      </c>
      <c r="F32" s="821" t="s">
        <v>352</v>
      </c>
      <c r="G32" s="822" t="s">
        <v>363</v>
      </c>
      <c r="H32" s="816" t="s">
        <v>351</v>
      </c>
      <c r="I32" s="823" t="s">
        <v>352</v>
      </c>
      <c r="J32" s="822" t="s">
        <v>363</v>
      </c>
      <c r="K32" s="816" t="s">
        <v>351</v>
      </c>
      <c r="L32" s="816" t="s">
        <v>352</v>
      </c>
      <c r="O32" s="798">
        <v>2010</v>
      </c>
      <c r="P32" s="667">
        <v>2012</v>
      </c>
      <c r="Q32" s="23">
        <v>2013</v>
      </c>
      <c r="R32" s="798">
        <v>2010</v>
      </c>
      <c r="S32" s="22">
        <v>2012</v>
      </c>
      <c r="T32" s="23">
        <v>2013</v>
      </c>
      <c r="U32" s="801">
        <v>2010</v>
      </c>
      <c r="V32" s="667">
        <v>2012</v>
      </c>
      <c r="W32" s="21">
        <v>2013</v>
      </c>
      <c r="X32" s="668"/>
    </row>
    <row r="33" spans="2:24" ht="21">
      <c r="B33" s="814" t="s">
        <v>22</v>
      </c>
      <c r="C33" s="813"/>
      <c r="D33" s="792"/>
      <c r="E33" s="818">
        <v>825</v>
      </c>
      <c r="F33" s="819">
        <v>705</v>
      </c>
      <c r="G33" s="848">
        <v>407.5</v>
      </c>
      <c r="H33" s="849">
        <v>310.10000000000002</v>
      </c>
      <c r="I33" s="850">
        <v>579.20000000000005</v>
      </c>
      <c r="J33" s="805"/>
      <c r="K33" s="818">
        <v>11217</v>
      </c>
      <c r="L33" s="818">
        <v>9376</v>
      </c>
      <c r="O33" s="797"/>
      <c r="P33" s="35">
        <f>K33</f>
        <v>11217</v>
      </c>
      <c r="Q33" s="35">
        <f>L33</f>
        <v>9376</v>
      </c>
      <c r="R33" s="824">
        <f>G33</f>
        <v>407.5</v>
      </c>
      <c r="S33" s="36">
        <f t="shared" ref="S33:T33" si="7">H33</f>
        <v>310.10000000000002</v>
      </c>
      <c r="T33" s="825">
        <f t="shared" si="7"/>
        <v>579.20000000000005</v>
      </c>
      <c r="U33" s="799"/>
      <c r="V33" s="35">
        <f>E33</f>
        <v>825</v>
      </c>
      <c r="W33" s="35">
        <f>F33</f>
        <v>705</v>
      </c>
      <c r="X33" s="669" t="s">
        <v>52</v>
      </c>
    </row>
    <row r="34" spans="2:24" ht="20.25">
      <c r="B34" s="814" t="s">
        <v>23</v>
      </c>
      <c r="C34" s="813"/>
      <c r="D34" s="792"/>
      <c r="E34" s="803">
        <v>539</v>
      </c>
      <c r="F34" s="804">
        <v>479</v>
      </c>
      <c r="G34" s="851">
        <v>273.7</v>
      </c>
      <c r="H34" s="852">
        <v>1091.4000000000001</v>
      </c>
      <c r="I34" s="853">
        <v>365.3</v>
      </c>
      <c r="J34" s="805"/>
      <c r="K34" s="803">
        <v>7396</v>
      </c>
      <c r="L34" s="803">
        <v>6010</v>
      </c>
      <c r="O34" s="792"/>
      <c r="P34" s="35">
        <f t="shared" ref="P34:P39" si="8">K34</f>
        <v>7396</v>
      </c>
      <c r="Q34" s="35">
        <f t="shared" ref="Q34:Q39" si="9">L34</f>
        <v>6010</v>
      </c>
      <c r="R34" s="824">
        <f t="shared" ref="R34:R39" si="10">G34</f>
        <v>273.7</v>
      </c>
      <c r="S34" s="36">
        <f t="shared" ref="S34:S39" si="11">H34</f>
        <v>1091.4000000000001</v>
      </c>
      <c r="T34" s="825">
        <f t="shared" ref="T34:T39" si="12">I34</f>
        <v>365.3</v>
      </c>
      <c r="U34" s="799"/>
      <c r="V34" s="35">
        <f t="shared" ref="V34:V39" si="13">E34</f>
        <v>539</v>
      </c>
      <c r="W34" s="35">
        <f t="shared" ref="W34:W39" si="14">F34</f>
        <v>479</v>
      </c>
      <c r="X34" s="670" t="s">
        <v>32</v>
      </c>
    </row>
    <row r="35" spans="2:24" ht="21">
      <c r="B35" s="814" t="s">
        <v>24</v>
      </c>
      <c r="C35" s="813"/>
      <c r="D35" s="792"/>
      <c r="E35" s="803">
        <v>235</v>
      </c>
      <c r="F35" s="804">
        <v>200</v>
      </c>
      <c r="G35" s="851">
        <v>240.1</v>
      </c>
      <c r="H35" s="852">
        <v>386.2</v>
      </c>
      <c r="I35" s="853">
        <v>710.8</v>
      </c>
      <c r="J35" s="805"/>
      <c r="K35" s="803">
        <v>3970</v>
      </c>
      <c r="L35" s="803">
        <v>3566</v>
      </c>
      <c r="O35" s="792"/>
      <c r="P35" s="35">
        <f t="shared" si="8"/>
        <v>3970</v>
      </c>
      <c r="Q35" s="35">
        <f t="shared" si="9"/>
        <v>3566</v>
      </c>
      <c r="R35" s="824">
        <f t="shared" si="10"/>
        <v>240.1</v>
      </c>
      <c r="S35" s="36">
        <f t="shared" si="11"/>
        <v>386.2</v>
      </c>
      <c r="T35" s="825">
        <f t="shared" si="12"/>
        <v>710.8</v>
      </c>
      <c r="U35" s="799"/>
      <c r="V35" s="35">
        <f t="shared" si="13"/>
        <v>235</v>
      </c>
      <c r="W35" s="35">
        <f t="shared" si="14"/>
        <v>200</v>
      </c>
      <c r="X35" s="669" t="s">
        <v>53</v>
      </c>
    </row>
    <row r="36" spans="2:24" ht="21">
      <c r="B36" s="814" t="s">
        <v>25</v>
      </c>
      <c r="C36" s="813"/>
      <c r="D36" s="792"/>
      <c r="E36" s="803">
        <v>479</v>
      </c>
      <c r="F36" s="804">
        <v>414</v>
      </c>
      <c r="G36" s="851">
        <v>348.2</v>
      </c>
      <c r="H36" s="852">
        <v>537.5</v>
      </c>
      <c r="I36" s="853">
        <v>503.2</v>
      </c>
      <c r="J36" s="805"/>
      <c r="K36" s="803">
        <v>8804</v>
      </c>
      <c r="L36" s="803">
        <v>8182</v>
      </c>
      <c r="O36" s="792"/>
      <c r="P36" s="35">
        <f t="shared" si="8"/>
        <v>8804</v>
      </c>
      <c r="Q36" s="35">
        <f t="shared" si="9"/>
        <v>8182</v>
      </c>
      <c r="R36" s="824">
        <f t="shared" si="10"/>
        <v>348.2</v>
      </c>
      <c r="S36" s="36">
        <f t="shared" si="11"/>
        <v>537.5</v>
      </c>
      <c r="T36" s="825">
        <f t="shared" si="12"/>
        <v>503.2</v>
      </c>
      <c r="U36" s="799"/>
      <c r="V36" s="35">
        <f t="shared" si="13"/>
        <v>479</v>
      </c>
      <c r="W36" s="35">
        <f t="shared" si="14"/>
        <v>414</v>
      </c>
      <c r="X36" s="669" t="s">
        <v>54</v>
      </c>
    </row>
    <row r="37" spans="2:24" ht="21">
      <c r="B37" s="814" t="s">
        <v>26</v>
      </c>
      <c r="C37" s="813"/>
      <c r="D37" s="792"/>
      <c r="E37" s="803">
        <v>172</v>
      </c>
      <c r="F37" s="804">
        <v>155</v>
      </c>
      <c r="G37" s="851">
        <v>231</v>
      </c>
      <c r="H37" s="852">
        <v>130.1</v>
      </c>
      <c r="I37" s="853">
        <v>229.7</v>
      </c>
      <c r="J37" s="805"/>
      <c r="K37" s="803">
        <v>1962</v>
      </c>
      <c r="L37" s="803">
        <v>2806</v>
      </c>
      <c r="O37" s="792"/>
      <c r="P37" s="35">
        <f t="shared" si="8"/>
        <v>1962</v>
      </c>
      <c r="Q37" s="35">
        <f t="shared" si="9"/>
        <v>2806</v>
      </c>
      <c r="R37" s="824">
        <f t="shared" si="10"/>
        <v>231</v>
      </c>
      <c r="S37" s="36">
        <f t="shared" si="11"/>
        <v>130.1</v>
      </c>
      <c r="T37" s="825">
        <f t="shared" si="12"/>
        <v>229.7</v>
      </c>
      <c r="U37" s="799"/>
      <c r="V37" s="35">
        <f t="shared" si="13"/>
        <v>172</v>
      </c>
      <c r="W37" s="35">
        <f t="shared" si="14"/>
        <v>155</v>
      </c>
      <c r="X37" s="669" t="s">
        <v>55</v>
      </c>
    </row>
    <row r="38" spans="2:24" ht="21">
      <c r="B38" s="814" t="s">
        <v>27</v>
      </c>
      <c r="C38" s="813"/>
      <c r="D38" s="792"/>
      <c r="E38" s="803">
        <v>425</v>
      </c>
      <c r="F38" s="804">
        <v>363</v>
      </c>
      <c r="G38" s="851">
        <v>191.3</v>
      </c>
      <c r="H38" s="852">
        <v>144.1</v>
      </c>
      <c r="I38" s="853">
        <v>89.4</v>
      </c>
      <c r="J38" s="805"/>
      <c r="K38" s="803">
        <v>12676</v>
      </c>
      <c r="L38" s="803">
        <v>11257</v>
      </c>
      <c r="O38" s="792"/>
      <c r="P38" s="35">
        <f t="shared" si="8"/>
        <v>12676</v>
      </c>
      <c r="Q38" s="35">
        <f t="shared" si="9"/>
        <v>11257</v>
      </c>
      <c r="R38" s="824">
        <f t="shared" si="10"/>
        <v>191.3</v>
      </c>
      <c r="S38" s="36">
        <f t="shared" si="11"/>
        <v>144.1</v>
      </c>
      <c r="T38" s="825">
        <f t="shared" si="12"/>
        <v>89.4</v>
      </c>
      <c r="U38" s="799"/>
      <c r="V38" s="35">
        <f t="shared" si="13"/>
        <v>425</v>
      </c>
      <c r="W38" s="35">
        <f t="shared" si="14"/>
        <v>363</v>
      </c>
      <c r="X38" s="669" t="s">
        <v>56</v>
      </c>
    </row>
    <row r="39" spans="2:24" ht="21">
      <c r="B39" s="814" t="s">
        <v>28</v>
      </c>
      <c r="C39" s="813"/>
      <c r="D39" s="793"/>
      <c r="E39" s="803">
        <v>73</v>
      </c>
      <c r="F39" s="804">
        <v>53</v>
      </c>
      <c r="G39" s="851">
        <v>21.6</v>
      </c>
      <c r="H39" s="852">
        <v>42.1</v>
      </c>
      <c r="I39" s="853">
        <v>13</v>
      </c>
      <c r="J39" s="805"/>
      <c r="K39" s="803">
        <v>2755</v>
      </c>
      <c r="L39" s="803">
        <v>1073</v>
      </c>
      <c r="O39" s="793"/>
      <c r="P39" s="35">
        <f t="shared" si="8"/>
        <v>2755</v>
      </c>
      <c r="Q39" s="35">
        <f t="shared" si="9"/>
        <v>1073</v>
      </c>
      <c r="R39" s="824">
        <f t="shared" si="10"/>
        <v>21.6</v>
      </c>
      <c r="S39" s="36">
        <f t="shared" si="11"/>
        <v>42.1</v>
      </c>
      <c r="T39" s="825">
        <f t="shared" si="12"/>
        <v>13</v>
      </c>
      <c r="U39" s="800"/>
      <c r="V39" s="35">
        <f t="shared" si="13"/>
        <v>73</v>
      </c>
      <c r="W39" s="35">
        <f t="shared" si="14"/>
        <v>53</v>
      </c>
      <c r="X39" s="669" t="s">
        <v>57</v>
      </c>
    </row>
    <row r="40" spans="2:24" ht="21">
      <c r="B40" s="806" t="s">
        <v>58</v>
      </c>
      <c r="C40" s="806"/>
      <c r="D40" s="807">
        <v>2498</v>
      </c>
      <c r="E40" s="807">
        <f>SUM(E33:E39)</f>
        <v>2748</v>
      </c>
      <c r="F40" s="808">
        <f>SUM(F33:F39)</f>
        <v>2369</v>
      </c>
      <c r="G40" s="809">
        <f>SUM(G33:G39)</f>
        <v>1713.3999999999999</v>
      </c>
      <c r="H40" s="810">
        <f>SUM(H33:H39)</f>
        <v>2641.4999999999995</v>
      </c>
      <c r="I40" s="811">
        <f>SUM(I33:I39)</f>
        <v>2490.6</v>
      </c>
      <c r="J40" s="812">
        <v>51005</v>
      </c>
      <c r="K40" s="817">
        <f>SUM(K33:K39)</f>
        <v>48780</v>
      </c>
      <c r="L40" s="817">
        <f>SUM(L33:L39)</f>
        <v>42270</v>
      </c>
      <c r="O40" s="671">
        <f>J40</f>
        <v>51005</v>
      </c>
      <c r="P40" s="671">
        <f t="shared" ref="P40:Q40" si="15">K40</f>
        <v>48780</v>
      </c>
      <c r="Q40" s="671">
        <f t="shared" si="15"/>
        <v>42270</v>
      </c>
      <c r="R40" s="802">
        <f>G40</f>
        <v>1713.3999999999999</v>
      </c>
      <c r="S40" s="802">
        <f t="shared" ref="S40:T40" si="16">H40</f>
        <v>2641.4999999999995</v>
      </c>
      <c r="T40" s="802">
        <f t="shared" si="16"/>
        <v>2490.6</v>
      </c>
      <c r="U40" s="671">
        <f>D40</f>
        <v>2498</v>
      </c>
      <c r="V40" s="671">
        <f t="shared" ref="V40:W40" si="17">E40</f>
        <v>2748</v>
      </c>
      <c r="W40" s="671">
        <f t="shared" si="17"/>
        <v>2369</v>
      </c>
      <c r="X40" s="672" t="s">
        <v>59</v>
      </c>
    </row>
    <row r="41" spans="2:24" ht="20.25">
      <c r="B41" s="1"/>
      <c r="C41" s="1"/>
      <c r="D41" s="790"/>
      <c r="E41" s="791"/>
      <c r="F41" s="119"/>
      <c r="G41" s="791"/>
      <c r="H41" s="791"/>
      <c r="I41" s="791"/>
      <c r="J41" s="1"/>
      <c r="K41" s="1"/>
      <c r="L41" s="1"/>
    </row>
    <row r="42" spans="2:24" ht="20.25">
      <c r="F42" s="20"/>
    </row>
    <row r="44" spans="2:24" ht="25.5" customHeight="1"/>
    <row r="56" spans="35:37">
      <c r="AJ56" s="34" t="s">
        <v>79</v>
      </c>
      <c r="AK56" s="34" t="s">
        <v>81</v>
      </c>
    </row>
    <row r="57" spans="35:37">
      <c r="AI57" s="33"/>
      <c r="AJ57">
        <v>1185.4000000000001</v>
      </c>
      <c r="AK57">
        <v>689.8</v>
      </c>
    </row>
  </sheetData>
  <mergeCells count="12">
    <mergeCell ref="B2:G2"/>
    <mergeCell ref="B14:G14"/>
    <mergeCell ref="B29:L29"/>
    <mergeCell ref="O29:X29"/>
    <mergeCell ref="U31:W31"/>
    <mergeCell ref="R31:T31"/>
    <mergeCell ref="O31:Q31"/>
    <mergeCell ref="I2:N2"/>
    <mergeCell ref="B30:I30"/>
    <mergeCell ref="D31:F31"/>
    <mergeCell ref="G31:H31"/>
    <mergeCell ref="J31:L3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AC26"/>
  <sheetViews>
    <sheetView topLeftCell="C1" zoomScale="70" zoomScaleNormal="70" workbookViewId="0">
      <selection activeCell="I7" sqref="I7"/>
    </sheetView>
  </sheetViews>
  <sheetFormatPr baseColWidth="10" defaultRowHeight="15"/>
  <cols>
    <col min="1" max="1" width="0.85546875" customWidth="1"/>
    <col min="3" max="3" width="12.5703125" bestFit="1" customWidth="1"/>
    <col min="4" max="6" width="19.7109375" customWidth="1"/>
    <col min="7" max="7" width="2.42578125" customWidth="1"/>
    <col min="8" max="10" width="19.7109375" customWidth="1"/>
    <col min="11" max="11" width="1.85546875" customWidth="1"/>
    <col min="12" max="13" width="19.7109375" customWidth="1"/>
    <col min="14" max="14" width="15" style="1" customWidth="1"/>
    <col min="15" max="15" width="2" customWidth="1"/>
    <col min="16" max="17" width="20.140625" customWidth="1"/>
    <col min="18" max="18" width="1.28515625" customWidth="1"/>
    <col min="19" max="21" width="19.140625" customWidth="1"/>
    <col min="22" max="22" width="1.28515625" customWidth="1"/>
    <col min="23" max="25" width="22" customWidth="1"/>
    <col min="26" max="26" width="45.85546875" customWidth="1"/>
    <col min="27" max="27" width="3.140625" customWidth="1"/>
  </cols>
  <sheetData>
    <row r="1" spans="2:29">
      <c r="B1" s="1"/>
      <c r="C1" s="1"/>
      <c r="D1" s="1"/>
      <c r="E1" s="1"/>
      <c r="F1" s="1"/>
      <c r="G1" s="1"/>
      <c r="H1" s="1"/>
      <c r="I1" s="1"/>
      <c r="J1" s="1"/>
    </row>
    <row r="2" spans="2:29" ht="28.5">
      <c r="B2" s="1005" t="s">
        <v>43</v>
      </c>
      <c r="C2" s="1005"/>
      <c r="D2" s="1005"/>
      <c r="E2" s="1005"/>
      <c r="F2" s="1005"/>
      <c r="G2" s="1005"/>
      <c r="H2" s="1005"/>
      <c r="I2" s="1005"/>
      <c r="J2" s="1005"/>
      <c r="K2" s="1005"/>
      <c r="L2" s="1005"/>
      <c r="M2" s="1005"/>
      <c r="N2" s="19"/>
    </row>
    <row r="3" spans="2:29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29" ht="22.5">
      <c r="B4" s="208"/>
      <c r="C4" s="209"/>
      <c r="D4" s="1004" t="s">
        <v>44</v>
      </c>
      <c r="E4" s="1004"/>
      <c r="F4" s="1004"/>
      <c r="G4" s="1006"/>
      <c r="H4" s="1004" t="s">
        <v>42</v>
      </c>
      <c r="I4" s="1004"/>
      <c r="J4" s="1004"/>
      <c r="K4" s="212"/>
      <c r="L4" s="1004" t="s">
        <v>45</v>
      </c>
      <c r="M4" s="1004"/>
      <c r="N4" s="213"/>
      <c r="O4" s="214"/>
      <c r="AC4" s="214"/>
    </row>
    <row r="5" spans="2:29" s="211" customFormat="1" ht="38.25" customHeight="1">
      <c r="B5" s="210"/>
      <c r="C5" s="210"/>
      <c r="D5" s="641" t="s">
        <v>351</v>
      </c>
      <c r="E5" s="641" t="s">
        <v>352</v>
      </c>
      <c r="F5" s="215" t="s">
        <v>29</v>
      </c>
      <c r="G5" s="1006"/>
      <c r="H5" s="641" t="s">
        <v>351</v>
      </c>
      <c r="I5" s="641" t="s">
        <v>352</v>
      </c>
      <c r="J5" s="215" t="s">
        <v>29</v>
      </c>
      <c r="K5" s="216"/>
      <c r="L5" s="641" t="s">
        <v>351</v>
      </c>
      <c r="M5" s="641" t="s">
        <v>352</v>
      </c>
      <c r="N5" s="217"/>
      <c r="O5" s="218"/>
      <c r="P5"/>
      <c r="Q5"/>
      <c r="R5"/>
      <c r="S5"/>
      <c r="T5"/>
      <c r="U5"/>
      <c r="V5"/>
      <c r="W5"/>
      <c r="X5"/>
      <c r="Y5"/>
      <c r="Z5"/>
      <c r="AA5"/>
      <c r="AB5"/>
      <c r="AC5" s="218"/>
    </row>
    <row r="6" spans="2:29" s="211" customFormat="1" ht="38.25" customHeight="1">
      <c r="B6" s="1007" t="s">
        <v>21</v>
      </c>
      <c r="C6" s="1007"/>
      <c r="D6" s="219">
        <f>SUM(D7:D13)</f>
        <v>13946.228000000001</v>
      </c>
      <c r="E6" s="499">
        <f>SUM(E7:E13)</f>
        <v>14937.266</v>
      </c>
      <c r="F6" s="220">
        <f>E6/D6-1</f>
        <v>7.1061365123243236E-2</v>
      </c>
      <c r="G6" s="1006"/>
      <c r="H6" s="221">
        <f>SUM(H7:H13)</f>
        <v>19057.044000000002</v>
      </c>
      <c r="I6" s="221">
        <f>SUM(I7:I13)</f>
        <v>19782.595000000001</v>
      </c>
      <c r="J6" s="220">
        <f>I6/H6-1</f>
        <v>3.8072588802334772E-2</v>
      </c>
      <c r="K6" s="216"/>
      <c r="L6" s="219">
        <f>SUM(L7:L13)</f>
        <v>-5110.8159999999998</v>
      </c>
      <c r="M6" s="219">
        <f>SUM(M7:M13)</f>
        <v>-4845.3290000000006</v>
      </c>
      <c r="N6" s="217"/>
      <c r="O6" s="218"/>
      <c r="P6"/>
      <c r="Q6"/>
      <c r="R6"/>
      <c r="S6"/>
      <c r="T6"/>
      <c r="U6"/>
      <c r="V6"/>
      <c r="W6"/>
      <c r="X6"/>
      <c r="Y6"/>
      <c r="Z6"/>
      <c r="AA6"/>
      <c r="AB6"/>
      <c r="AC6" s="218"/>
    </row>
    <row r="7" spans="2:29" s="211" customFormat="1" ht="38.25" customHeight="1">
      <c r="B7" s="224" t="s">
        <v>0</v>
      </c>
      <c r="C7" s="225" t="s">
        <v>22</v>
      </c>
      <c r="D7" s="649">
        <v>1188.913</v>
      </c>
      <c r="E7" s="649">
        <v>1392.521</v>
      </c>
      <c r="F7" s="302">
        <f t="shared" ref="F7:F14" si="0">E7/D7-1</f>
        <v>0.17125559229312826</v>
      </c>
      <c r="G7" s="1006"/>
      <c r="H7" s="652">
        <v>1213.085</v>
      </c>
      <c r="I7" s="652">
        <v>1161.2049999999999</v>
      </c>
      <c r="J7" s="302">
        <f t="shared" ref="J7:J14" si="1">I7/H7-1</f>
        <v>-4.2766994893185695E-2</v>
      </c>
      <c r="K7" s="216"/>
      <c r="L7" s="222">
        <f>D7-H7</f>
        <v>-24.172000000000025</v>
      </c>
      <c r="M7" s="222">
        <f>E7-I7</f>
        <v>231.31600000000003</v>
      </c>
      <c r="N7" s="222"/>
      <c r="O7" s="218"/>
      <c r="P7"/>
      <c r="Q7"/>
      <c r="R7"/>
      <c r="S7"/>
      <c r="T7"/>
      <c r="U7"/>
      <c r="V7"/>
      <c r="W7"/>
      <c r="X7"/>
      <c r="Y7"/>
      <c r="Z7"/>
      <c r="AA7"/>
      <c r="AB7"/>
      <c r="AC7" s="218"/>
    </row>
    <row r="8" spans="2:29" s="211" customFormat="1" ht="38.25" customHeight="1">
      <c r="B8" s="224" t="s">
        <v>0</v>
      </c>
      <c r="C8" s="225" t="s">
        <v>23</v>
      </c>
      <c r="D8" s="650">
        <v>815.70700000000011</v>
      </c>
      <c r="E8" s="650">
        <v>875.93499999999995</v>
      </c>
      <c r="F8" s="302">
        <f t="shared" si="0"/>
        <v>7.3835335481980513E-2</v>
      </c>
      <c r="G8" s="1006"/>
      <c r="H8" s="652">
        <v>1525.9740000000002</v>
      </c>
      <c r="I8" s="652">
        <v>1561.3830000000003</v>
      </c>
      <c r="J8" s="302">
        <f t="shared" si="1"/>
        <v>2.3204196139645861E-2</v>
      </c>
      <c r="K8" s="216"/>
      <c r="L8" s="222">
        <f t="shared" ref="L8:M14" si="2">D8-H8</f>
        <v>-710.26700000000005</v>
      </c>
      <c r="M8" s="222">
        <f t="shared" si="2"/>
        <v>-685.44800000000032</v>
      </c>
      <c r="N8" s="222"/>
      <c r="O8" s="218"/>
      <c r="P8"/>
      <c r="Q8"/>
      <c r="R8"/>
      <c r="S8"/>
      <c r="T8"/>
      <c r="U8"/>
      <c r="V8"/>
      <c r="W8"/>
      <c r="X8"/>
      <c r="Y8"/>
      <c r="Z8"/>
      <c r="AA8"/>
      <c r="AB8"/>
      <c r="AC8" s="218"/>
    </row>
    <row r="9" spans="2:29" s="211" customFormat="1" ht="38.25" customHeight="1">
      <c r="B9" s="224" t="s">
        <v>0</v>
      </c>
      <c r="C9" s="225" t="s">
        <v>24</v>
      </c>
      <c r="D9" s="649">
        <v>209.82499999999999</v>
      </c>
      <c r="E9" s="649">
        <v>271.72000000000003</v>
      </c>
      <c r="F9" s="302">
        <f t="shared" si="0"/>
        <v>0.29498391516740163</v>
      </c>
      <c r="G9" s="1006"/>
      <c r="H9" s="652">
        <v>297.51600000000002</v>
      </c>
      <c r="I9" s="652">
        <v>301.42099999999999</v>
      </c>
      <c r="J9" s="302">
        <f t="shared" si="1"/>
        <v>1.3125344519286264E-2</v>
      </c>
      <c r="K9" s="216"/>
      <c r="L9" s="222">
        <f t="shared" si="2"/>
        <v>-87.691000000000031</v>
      </c>
      <c r="M9" s="222">
        <f t="shared" si="2"/>
        <v>-29.700999999999965</v>
      </c>
      <c r="N9" s="222"/>
      <c r="O9" s="218"/>
      <c r="P9"/>
      <c r="Q9"/>
      <c r="R9"/>
      <c r="S9"/>
      <c r="T9"/>
      <c r="U9"/>
      <c r="V9"/>
      <c r="W9"/>
      <c r="X9"/>
      <c r="Y9"/>
      <c r="Z9"/>
      <c r="AA9"/>
      <c r="AB9"/>
      <c r="AC9" s="218"/>
    </row>
    <row r="10" spans="2:29" s="211" customFormat="1" ht="38.25" customHeight="1">
      <c r="B10" s="224" t="s">
        <v>0</v>
      </c>
      <c r="C10" s="225" t="s">
        <v>25</v>
      </c>
      <c r="D10" s="651">
        <v>6336.01</v>
      </c>
      <c r="E10" s="651">
        <v>6707.5</v>
      </c>
      <c r="F10" s="302">
        <f>E10/D10-1</f>
        <v>5.8631536250731919E-2</v>
      </c>
      <c r="G10" s="1006"/>
      <c r="H10" s="651">
        <v>10402</v>
      </c>
      <c r="I10" s="651">
        <v>10805.38</v>
      </c>
      <c r="J10" s="302">
        <f t="shared" si="1"/>
        <v>3.8779080945971822E-2</v>
      </c>
      <c r="K10" s="216"/>
      <c r="L10" s="222">
        <f>D10-H10</f>
        <v>-4065.99</v>
      </c>
      <c r="M10" s="222">
        <f>E10-I10</f>
        <v>-4097.8799999999992</v>
      </c>
      <c r="N10" s="222"/>
      <c r="O10" s="218"/>
      <c r="P10"/>
      <c r="Q10"/>
      <c r="R10"/>
      <c r="S10"/>
      <c r="T10"/>
      <c r="U10"/>
      <c r="V10"/>
      <c r="W10"/>
      <c r="X10"/>
      <c r="Y10"/>
      <c r="Z10"/>
      <c r="AA10"/>
      <c r="AB10"/>
      <c r="AC10" s="218"/>
    </row>
    <row r="11" spans="2:29" s="211" customFormat="1" ht="38.25" customHeight="1">
      <c r="B11" s="224" t="s">
        <v>0</v>
      </c>
      <c r="C11" s="225" t="s">
        <v>26</v>
      </c>
      <c r="D11" s="649">
        <v>1435.1729999999998</v>
      </c>
      <c r="E11" s="649">
        <v>1492.69</v>
      </c>
      <c r="F11" s="302">
        <f t="shared" si="0"/>
        <v>4.0076701554446981E-2</v>
      </c>
      <c r="G11" s="1006"/>
      <c r="H11" s="652">
        <v>2819.1689999999999</v>
      </c>
      <c r="I11" s="652">
        <v>3086.5060000000003</v>
      </c>
      <c r="J11" s="302">
        <f t="shared" si="1"/>
        <v>9.4828298693693247E-2</v>
      </c>
      <c r="K11" s="216"/>
      <c r="L11" s="222">
        <f t="shared" si="2"/>
        <v>-1383.9960000000001</v>
      </c>
      <c r="M11" s="222">
        <f t="shared" si="2"/>
        <v>-1593.8160000000003</v>
      </c>
      <c r="N11" s="222"/>
      <c r="O11" s="218"/>
      <c r="P11"/>
      <c r="Q11"/>
      <c r="R11"/>
      <c r="S11"/>
      <c r="T11"/>
      <c r="U11"/>
      <c r="V11"/>
      <c r="W11"/>
      <c r="X11"/>
      <c r="Y11"/>
      <c r="Z11"/>
      <c r="AA11"/>
      <c r="AB11"/>
      <c r="AC11" s="218"/>
    </row>
    <row r="12" spans="2:29" s="211" customFormat="1" ht="38.25" customHeight="1">
      <c r="B12" s="224" t="s">
        <v>0</v>
      </c>
      <c r="C12" s="225" t="s">
        <v>27</v>
      </c>
      <c r="D12" s="651">
        <v>3281</v>
      </c>
      <c r="E12" s="651">
        <v>3487.7</v>
      </c>
      <c r="F12" s="302">
        <f t="shared" si="0"/>
        <v>6.2999085644620534E-2</v>
      </c>
      <c r="G12" s="1006"/>
      <c r="H12" s="652">
        <v>2327.8000000000002</v>
      </c>
      <c r="I12" s="652">
        <v>2374.1999999999998</v>
      </c>
      <c r="J12" s="302">
        <v>1.0999999999999999E-2</v>
      </c>
      <c r="K12" s="216"/>
      <c r="L12" s="222">
        <f t="shared" si="2"/>
        <v>953.19999999999982</v>
      </c>
      <c r="M12" s="222">
        <f t="shared" si="2"/>
        <v>1113.5</v>
      </c>
      <c r="N12" s="222"/>
      <c r="O12" s="218"/>
      <c r="P12"/>
      <c r="Q12"/>
      <c r="R12"/>
      <c r="S12"/>
      <c r="T12"/>
      <c r="U12"/>
      <c r="V12"/>
      <c r="W12"/>
      <c r="X12"/>
      <c r="Y12"/>
      <c r="Z12"/>
      <c r="AA12"/>
      <c r="AB12"/>
      <c r="AC12" s="218"/>
    </row>
    <row r="13" spans="2:29" s="211" customFormat="1" ht="38.25" customHeight="1">
      <c r="B13" s="224" t="s">
        <v>0</v>
      </c>
      <c r="C13" s="225" t="s">
        <v>28</v>
      </c>
      <c r="D13" s="651">
        <v>679.6</v>
      </c>
      <c r="E13" s="651">
        <v>709.2</v>
      </c>
      <c r="F13" s="302">
        <f t="shared" si="0"/>
        <v>4.3555032371983549E-2</v>
      </c>
      <c r="G13" s="1006"/>
      <c r="H13" s="652">
        <v>471.5</v>
      </c>
      <c r="I13" s="652">
        <v>492.5</v>
      </c>
      <c r="J13" s="302">
        <f t="shared" si="1"/>
        <v>4.4538706256627814E-2</v>
      </c>
      <c r="K13" s="216"/>
      <c r="L13" s="222">
        <f t="shared" si="2"/>
        <v>208.10000000000002</v>
      </c>
      <c r="M13" s="222">
        <f t="shared" si="2"/>
        <v>216.70000000000005</v>
      </c>
      <c r="N13" s="222"/>
      <c r="O13" s="218"/>
      <c r="P13"/>
      <c r="Q13"/>
      <c r="R13"/>
      <c r="S13"/>
      <c r="T13"/>
      <c r="U13"/>
      <c r="V13"/>
      <c r="W13"/>
      <c r="X13"/>
      <c r="Y13"/>
      <c r="Z13"/>
      <c r="AA13"/>
      <c r="AB13"/>
      <c r="AC13" s="218"/>
    </row>
    <row r="14" spans="2:29" s="211" customFormat="1" ht="38.25" customHeight="1">
      <c r="B14" s="1004" t="s">
        <v>46</v>
      </c>
      <c r="C14" s="1004"/>
      <c r="D14" s="642">
        <v>17407.389000000003</v>
      </c>
      <c r="E14" s="642">
        <v>18423.370999999999</v>
      </c>
      <c r="F14" s="223">
        <f t="shared" si="0"/>
        <v>5.8364985122122404E-2</v>
      </c>
      <c r="G14" s="1006"/>
      <c r="H14" s="642">
        <v>24832.442000000003</v>
      </c>
      <c r="I14" s="642">
        <v>26092.281999999999</v>
      </c>
      <c r="J14" s="223">
        <f t="shared" si="1"/>
        <v>5.0733633043419379E-2</v>
      </c>
      <c r="K14" s="216"/>
      <c r="L14" s="215">
        <f t="shared" si="2"/>
        <v>-7425.0529999999999</v>
      </c>
      <c r="M14" s="402">
        <f t="shared" si="2"/>
        <v>-7668.9110000000001</v>
      </c>
      <c r="N14" s="217"/>
      <c r="O14" s="218"/>
      <c r="P14"/>
      <c r="Q14"/>
      <c r="R14"/>
      <c r="S14"/>
      <c r="T14"/>
      <c r="U14"/>
      <c r="V14"/>
      <c r="W14"/>
      <c r="X14"/>
      <c r="Y14"/>
      <c r="Z14"/>
      <c r="AA14"/>
      <c r="AB14"/>
      <c r="AC14" s="218"/>
    </row>
    <row r="17" spans="4:4" ht="18.75">
      <c r="D17" s="517"/>
    </row>
    <row r="18" spans="4:4" ht="18.75">
      <c r="D18" s="517"/>
    </row>
    <row r="19" spans="4:4" ht="18.75">
      <c r="D19" s="517"/>
    </row>
    <row r="20" spans="4:4" ht="18.75">
      <c r="D20" s="517"/>
    </row>
    <row r="21" spans="4:4" ht="18.75">
      <c r="D21" s="517"/>
    </row>
    <row r="22" spans="4:4" ht="18.75">
      <c r="D22" s="517"/>
    </row>
    <row r="23" spans="4:4" ht="18.75">
      <c r="D23" s="517"/>
    </row>
    <row r="26" spans="4:4">
      <c r="D26" s="516"/>
    </row>
  </sheetData>
  <mergeCells count="7">
    <mergeCell ref="B14:C14"/>
    <mergeCell ref="B2:M2"/>
    <mergeCell ref="D4:F4"/>
    <mergeCell ref="G4:G14"/>
    <mergeCell ref="H4:J4"/>
    <mergeCell ref="L4:M4"/>
    <mergeCell ref="B6:C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3:S65"/>
  <sheetViews>
    <sheetView topLeftCell="A15" workbookViewId="0">
      <selection activeCell="E31" sqref="E31:F31"/>
    </sheetView>
  </sheetViews>
  <sheetFormatPr baseColWidth="10" defaultRowHeight="15"/>
  <cols>
    <col min="1" max="1" width="51" customWidth="1"/>
    <col min="2" max="2" width="16.85546875" customWidth="1"/>
    <col min="3" max="4" width="17" customWidth="1"/>
    <col min="5" max="5" width="15" customWidth="1"/>
    <col min="6" max="6" width="14.7109375" customWidth="1"/>
    <col min="7" max="7" width="12.42578125" bestFit="1" customWidth="1"/>
    <col min="8" max="8" width="22.42578125" customWidth="1"/>
    <col min="9" max="9" width="10.140625" style="482" customWidth="1"/>
    <col min="10" max="10" width="9.42578125" style="482" customWidth="1"/>
    <col min="11" max="11" width="17.7109375" customWidth="1"/>
    <col min="12" max="12" width="17.28515625" customWidth="1"/>
    <col min="13" max="13" width="14.7109375" customWidth="1"/>
    <col min="14" max="14" width="36.5703125" customWidth="1"/>
  </cols>
  <sheetData>
    <row r="3" spans="1:19" ht="21">
      <c r="A3" s="989" t="s">
        <v>40</v>
      </c>
      <c r="B3" s="989"/>
      <c r="C3" s="989"/>
      <c r="D3" s="989"/>
      <c r="E3" s="989"/>
      <c r="F3" s="989"/>
      <c r="I3" s="657"/>
      <c r="J3" s="989" t="s">
        <v>41</v>
      </c>
      <c r="K3" s="989"/>
      <c r="L3" s="989"/>
      <c r="M3" s="989"/>
      <c r="N3" s="989"/>
    </row>
    <row r="4" spans="1:19" ht="21">
      <c r="A4" s="1"/>
      <c r="B4" s="18" t="s">
        <v>363</v>
      </c>
      <c r="C4" s="18" t="s">
        <v>351</v>
      </c>
      <c r="D4" s="18" t="s">
        <v>352</v>
      </c>
      <c r="E4" s="406" t="s">
        <v>181</v>
      </c>
      <c r="F4" s="406" t="s">
        <v>225</v>
      </c>
      <c r="I4" s="658" t="s">
        <v>225</v>
      </c>
      <c r="J4" s="659" t="s">
        <v>181</v>
      </c>
      <c r="K4" s="5" t="s">
        <v>354</v>
      </c>
      <c r="L4" s="5" t="s">
        <v>353</v>
      </c>
      <c r="M4" s="5" t="s">
        <v>364</v>
      </c>
      <c r="N4" s="660"/>
      <c r="Q4" t="s">
        <v>365</v>
      </c>
      <c r="R4" t="s">
        <v>367</v>
      </c>
      <c r="S4" t="s">
        <v>368</v>
      </c>
    </row>
    <row r="5" spans="1:19" ht="21">
      <c r="A5" s="640" t="s">
        <v>276</v>
      </c>
      <c r="B5" s="378">
        <f>SUM(B6:B12)</f>
        <v>12524.8</v>
      </c>
      <c r="C5" s="644">
        <f>SUM(C6:C12)</f>
        <v>13946.228000000003</v>
      </c>
      <c r="D5" s="644">
        <f>SUM(D6:D12)</f>
        <v>14937.266000000001</v>
      </c>
      <c r="E5" s="645">
        <f t="shared" ref="E5:E12" si="0">D5/C5-1</f>
        <v>7.1061365123243236E-2</v>
      </c>
      <c r="F5" s="645">
        <f t="shared" ref="F5:F13" si="1">D5/B5-1</f>
        <v>0.1926151315789475</v>
      </c>
      <c r="I5" s="645">
        <f t="shared" ref="I5:I13" si="2">F5</f>
        <v>0.1926151315789475</v>
      </c>
      <c r="J5" s="645">
        <f t="shared" ref="J5:J13" si="3">E5</f>
        <v>7.1061365123243236E-2</v>
      </c>
      <c r="K5" s="644">
        <f>SUM(K6:K12)</f>
        <v>14937.266000000001</v>
      </c>
      <c r="L5" s="644">
        <f>SUM(L6:L12)</f>
        <v>13946.228000000003</v>
      </c>
      <c r="M5" s="378">
        <f>SUM(M6:M12)</f>
        <v>12524.8</v>
      </c>
      <c r="N5" s="661" t="s">
        <v>277</v>
      </c>
      <c r="O5" s="1"/>
      <c r="P5" t="s">
        <v>330</v>
      </c>
      <c r="Q5" s="394">
        <f>G61</f>
        <v>12524.8</v>
      </c>
      <c r="R5" s="394">
        <f>F61</f>
        <v>13946.227999999999</v>
      </c>
      <c r="S5" s="394">
        <f>E61</f>
        <v>14937.266</v>
      </c>
    </row>
    <row r="6" spans="1:19" ht="18.75">
      <c r="A6" s="10" t="s">
        <v>25</v>
      </c>
      <c r="B6" s="501">
        <v>5150.2</v>
      </c>
      <c r="C6" s="12">
        <v>6336.01</v>
      </c>
      <c r="D6" s="12">
        <v>6707.5</v>
      </c>
      <c r="E6" s="11">
        <f t="shared" si="0"/>
        <v>5.8631536250731919E-2</v>
      </c>
      <c r="F6" s="11">
        <f t="shared" si="1"/>
        <v>0.30237660673371902</v>
      </c>
      <c r="I6" s="510">
        <f t="shared" si="2"/>
        <v>0.30237660673371902</v>
      </c>
      <c r="J6" s="510">
        <f t="shared" si="3"/>
        <v>5.8631536250731919E-2</v>
      </c>
      <c r="K6" s="12">
        <f t="shared" ref="K6:K13" si="4">D6</f>
        <v>6707.5</v>
      </c>
      <c r="L6" s="12">
        <f t="shared" ref="L6:L13" si="5">C6</f>
        <v>6336.01</v>
      </c>
      <c r="M6" s="12">
        <f>B6</f>
        <v>5150.2</v>
      </c>
      <c r="N6" s="662" t="s">
        <v>34</v>
      </c>
    </row>
    <row r="7" spans="1:19" ht="18.75">
      <c r="A7" s="741" t="s">
        <v>27</v>
      </c>
      <c r="B7" s="742">
        <v>3374.5</v>
      </c>
      <c r="C7" s="743">
        <v>3281</v>
      </c>
      <c r="D7" s="743">
        <v>3487.7</v>
      </c>
      <c r="E7" s="646">
        <f t="shared" si="0"/>
        <v>6.2999085644620534E-2</v>
      </c>
      <c r="F7" s="646">
        <f t="shared" si="1"/>
        <v>3.3545710475626045E-2</v>
      </c>
      <c r="I7" s="306">
        <f t="shared" si="2"/>
        <v>3.3545710475626045E-2</v>
      </c>
      <c r="J7" s="306">
        <f t="shared" si="3"/>
        <v>6.2999085644620534E-2</v>
      </c>
      <c r="K7" s="316">
        <f t="shared" si="4"/>
        <v>3487.7</v>
      </c>
      <c r="L7" s="316">
        <f t="shared" si="5"/>
        <v>3281</v>
      </c>
      <c r="M7" s="316">
        <f t="shared" ref="M7:M12" si="6">B7</f>
        <v>3374.5</v>
      </c>
      <c r="N7" s="307" t="s">
        <v>36</v>
      </c>
    </row>
    <row r="8" spans="1:19" ht="18.75">
      <c r="A8" s="741" t="s">
        <v>26</v>
      </c>
      <c r="B8" s="742">
        <v>1574.8</v>
      </c>
      <c r="C8" s="743">
        <v>1435.173</v>
      </c>
      <c r="D8" s="743">
        <v>1492.69</v>
      </c>
      <c r="E8" s="646">
        <f>D8/C8-1</f>
        <v>4.0076701554446759E-2</v>
      </c>
      <c r="F8" s="306">
        <f>D8/B8-1</f>
        <v>-5.2139954279908474E-2</v>
      </c>
      <c r="I8" s="306">
        <f>F8</f>
        <v>-5.2139954279908474E-2</v>
      </c>
      <c r="J8" s="306">
        <f>E8</f>
        <v>4.0076701554446759E-2</v>
      </c>
      <c r="K8" s="316">
        <f>D8</f>
        <v>1492.69</v>
      </c>
      <c r="L8" s="316">
        <f>C8</f>
        <v>1435.173</v>
      </c>
      <c r="M8" s="316">
        <f>B8</f>
        <v>1574.8</v>
      </c>
      <c r="N8" s="307" t="s">
        <v>35</v>
      </c>
    </row>
    <row r="9" spans="1:19" ht="18.75">
      <c r="A9" s="10" t="s">
        <v>22</v>
      </c>
      <c r="B9" s="501">
        <v>793.4</v>
      </c>
      <c r="C9" s="12">
        <v>1188.913</v>
      </c>
      <c r="D9" s="12">
        <v>1392.521</v>
      </c>
      <c r="E9" s="11">
        <f>D9/C9-1</f>
        <v>0.17125559229312826</v>
      </c>
      <c r="F9" s="11">
        <f>D9/B9-1</f>
        <v>0.75513108142172936</v>
      </c>
      <c r="I9" s="510">
        <f>G11</f>
        <v>0</v>
      </c>
      <c r="J9" s="510">
        <f>E9</f>
        <v>0.17125559229312826</v>
      </c>
      <c r="K9" s="12">
        <f>D9</f>
        <v>1392.521</v>
      </c>
      <c r="L9" s="12">
        <f>C9</f>
        <v>1188.913</v>
      </c>
      <c r="M9" s="12">
        <f>B9</f>
        <v>793.4</v>
      </c>
      <c r="N9" s="662" t="s">
        <v>31</v>
      </c>
    </row>
    <row r="10" spans="1:19" ht="18.75">
      <c r="A10" s="10" t="s">
        <v>23</v>
      </c>
      <c r="B10" s="501">
        <v>717.9</v>
      </c>
      <c r="C10" s="12">
        <v>815.70699999999999</v>
      </c>
      <c r="D10" s="12">
        <v>875.93499999999995</v>
      </c>
      <c r="E10" s="11">
        <f t="shared" si="0"/>
        <v>7.3835335481980513E-2</v>
      </c>
      <c r="F10" s="11">
        <f t="shared" si="1"/>
        <v>0.22013511631146399</v>
      </c>
      <c r="I10" s="510">
        <f t="shared" si="2"/>
        <v>0.22013511631146399</v>
      </c>
      <c r="J10" s="510">
        <f t="shared" si="3"/>
        <v>7.3835335481980513E-2</v>
      </c>
      <c r="K10" s="12">
        <f t="shared" si="4"/>
        <v>875.93499999999995</v>
      </c>
      <c r="L10" s="12">
        <f t="shared" si="5"/>
        <v>815.70699999999999</v>
      </c>
      <c r="M10" s="12">
        <f t="shared" si="6"/>
        <v>717.9</v>
      </c>
      <c r="N10" s="662" t="s">
        <v>32</v>
      </c>
    </row>
    <row r="11" spans="1:19" ht="18.75">
      <c r="A11" s="10" t="s">
        <v>28</v>
      </c>
      <c r="B11" s="501">
        <v>643.29999999999995</v>
      </c>
      <c r="C11" s="12">
        <v>679.6</v>
      </c>
      <c r="D11" s="12">
        <v>709.2</v>
      </c>
      <c r="E11" s="11">
        <f t="shared" si="0"/>
        <v>4.3555032371983549E-2</v>
      </c>
      <c r="F11" s="11">
        <f t="shared" si="1"/>
        <v>0.10244054096067168</v>
      </c>
      <c r="G11" s="506"/>
      <c r="H11" s="118"/>
      <c r="I11" s="510">
        <f t="shared" si="2"/>
        <v>0.10244054096067168</v>
      </c>
      <c r="J11" s="510">
        <f t="shared" si="3"/>
        <v>4.3555032371983549E-2</v>
      </c>
      <c r="K11" s="12">
        <f t="shared" si="4"/>
        <v>709.2</v>
      </c>
      <c r="L11" s="12">
        <f t="shared" si="5"/>
        <v>679.6</v>
      </c>
      <c r="M11" s="12">
        <f t="shared" si="6"/>
        <v>643.29999999999995</v>
      </c>
      <c r="N11" s="662" t="s">
        <v>37</v>
      </c>
    </row>
    <row r="12" spans="1:19" ht="18.75">
      <c r="A12" s="10" t="s">
        <v>24</v>
      </c>
      <c r="B12" s="501">
        <v>270.7</v>
      </c>
      <c r="C12" s="12">
        <v>209.82499999999999</v>
      </c>
      <c r="D12" s="12">
        <v>271.72000000000003</v>
      </c>
      <c r="E12" s="11">
        <f t="shared" si="0"/>
        <v>0.29498391516740163</v>
      </c>
      <c r="F12" s="11">
        <f t="shared" si="1"/>
        <v>3.7680088659033384E-3</v>
      </c>
      <c r="I12" s="510">
        <f t="shared" si="2"/>
        <v>3.7680088659033384E-3</v>
      </c>
      <c r="J12" s="511">
        <f t="shared" si="3"/>
        <v>0.29498391516740163</v>
      </c>
      <c r="K12" s="12">
        <f t="shared" si="4"/>
        <v>271.72000000000003</v>
      </c>
      <c r="L12" s="12">
        <f t="shared" si="5"/>
        <v>209.82499999999999</v>
      </c>
      <c r="M12" s="12">
        <f t="shared" si="6"/>
        <v>270.7</v>
      </c>
      <c r="N12" s="662" t="s">
        <v>33</v>
      </c>
    </row>
    <row r="13" spans="1:19" ht="35.25" customHeight="1">
      <c r="A13" s="502" t="s">
        <v>279</v>
      </c>
      <c r="B13" s="500">
        <v>15423.4</v>
      </c>
      <c r="C13" s="296">
        <v>17407.388999999999</v>
      </c>
      <c r="D13" s="296">
        <v>18423.370999999999</v>
      </c>
      <c r="E13" s="297">
        <f>D13/C13-1</f>
        <v>5.8364985122122626E-2</v>
      </c>
      <c r="F13" s="405">
        <f t="shared" si="1"/>
        <v>0.19450776093468369</v>
      </c>
      <c r="I13" s="663">
        <f t="shared" si="2"/>
        <v>0.19450776093468369</v>
      </c>
      <c r="J13" s="663">
        <f t="shared" si="3"/>
        <v>5.8364985122122626E-2</v>
      </c>
      <c r="K13" s="296">
        <f t="shared" si="4"/>
        <v>18423.370999999999</v>
      </c>
      <c r="L13" s="296">
        <f t="shared" si="5"/>
        <v>17407.388999999999</v>
      </c>
      <c r="M13" s="296">
        <f>B13</f>
        <v>15423.4</v>
      </c>
      <c r="N13" s="664" t="s">
        <v>278</v>
      </c>
      <c r="O13" s="1"/>
    </row>
    <row r="14" spans="1:19">
      <c r="O14" s="1"/>
    </row>
    <row r="29" spans="1:14" ht="21">
      <c r="A29" s="989" t="s">
        <v>149</v>
      </c>
      <c r="B29" s="989"/>
      <c r="C29" s="989"/>
      <c r="D29" s="989"/>
      <c r="E29" s="989"/>
      <c r="F29" s="50"/>
      <c r="I29" s="989" t="s">
        <v>148</v>
      </c>
      <c r="J29" s="989"/>
      <c r="K29" s="989"/>
      <c r="L29" s="989"/>
      <c r="M29" s="989"/>
      <c r="N29" s="989"/>
    </row>
    <row r="30" spans="1:14" ht="8.25" customHeight="1">
      <c r="A30" s="1"/>
      <c r="B30" s="1"/>
      <c r="C30" s="1"/>
      <c r="D30" s="1"/>
      <c r="E30" s="1"/>
      <c r="F30" s="1"/>
      <c r="I30" s="504"/>
      <c r="J30" s="504"/>
      <c r="K30" s="1"/>
      <c r="L30" s="1"/>
      <c r="M30" s="1"/>
      <c r="N30" s="1"/>
    </row>
    <row r="31" spans="1:14" ht="18.75">
      <c r="A31" s="1"/>
      <c r="B31" s="18" t="s">
        <v>363</v>
      </c>
      <c r="C31" s="18" t="s">
        <v>351</v>
      </c>
      <c r="D31" s="18" t="s">
        <v>352</v>
      </c>
      <c r="E31" s="406" t="s">
        <v>181</v>
      </c>
      <c r="F31" s="406" t="s">
        <v>225</v>
      </c>
      <c r="I31" s="403" t="s">
        <v>225</v>
      </c>
      <c r="J31" s="404" t="s">
        <v>181</v>
      </c>
      <c r="K31" s="7" t="s">
        <v>354</v>
      </c>
      <c r="L31" s="7" t="s">
        <v>353</v>
      </c>
      <c r="M31" s="7" t="s">
        <v>364</v>
      </c>
      <c r="N31" s="1"/>
    </row>
    <row r="32" spans="1:14" ht="21">
      <c r="A32" s="284" t="s">
        <v>21</v>
      </c>
      <c r="B32" s="508">
        <f>SUM(B33:B39)</f>
        <v>17270.7</v>
      </c>
      <c r="C32" s="14">
        <f>SUM(C33:C39)</f>
        <v>19057.043999999998</v>
      </c>
      <c r="D32" s="14">
        <f>SUM(D33:D39)</f>
        <v>19782.594999999998</v>
      </c>
      <c r="E32" s="9">
        <f t="shared" ref="E32:E40" si="7">D32/C32-1</f>
        <v>3.8072588802334772E-2</v>
      </c>
      <c r="F32" s="9">
        <f t="shared" ref="F32:F40" si="8">D32/B32-1</f>
        <v>0.14544257036483743</v>
      </c>
      <c r="I32" s="8">
        <f t="shared" ref="I32:I40" si="9">F32</f>
        <v>0.14544257036483743</v>
      </c>
      <c r="J32" s="8">
        <f t="shared" ref="J32:J40" si="10">E32</f>
        <v>3.8072588802334772E-2</v>
      </c>
      <c r="K32" s="17">
        <f>SUM(K33:K39)</f>
        <v>19782.594999999998</v>
      </c>
      <c r="L32" s="507">
        <f>C32</f>
        <v>19057.043999999998</v>
      </c>
      <c r="M32" s="17">
        <f>B32</f>
        <v>17270.7</v>
      </c>
      <c r="N32" s="299" t="s">
        <v>277</v>
      </c>
    </row>
    <row r="33" spans="1:17" ht="18.75">
      <c r="A33" s="10" t="s">
        <v>25</v>
      </c>
      <c r="B33" s="654">
        <v>9830.2999999999993</v>
      </c>
      <c r="C33" s="12">
        <v>10402</v>
      </c>
      <c r="D33" s="12">
        <v>10805.38</v>
      </c>
      <c r="E33" s="11">
        <f t="shared" si="7"/>
        <v>3.8779080945971822E-2</v>
      </c>
      <c r="F33" s="11">
        <f t="shared" si="8"/>
        <v>9.9191275952920988E-2</v>
      </c>
      <c r="I33" s="11">
        <f t="shared" si="9"/>
        <v>9.9191275952920988E-2</v>
      </c>
      <c r="J33" s="11">
        <f t="shared" si="10"/>
        <v>3.8779080945971822E-2</v>
      </c>
      <c r="K33" s="12">
        <f t="shared" ref="K33:K40" si="11">D33</f>
        <v>10805.38</v>
      </c>
      <c r="L33" s="12">
        <f>C33</f>
        <v>10402</v>
      </c>
      <c r="M33" s="12">
        <f>B33</f>
        <v>9830.2999999999993</v>
      </c>
      <c r="N33" s="3" t="s">
        <v>34</v>
      </c>
      <c r="Q33">
        <f>585.4/437-1</f>
        <v>0.3395881006864987</v>
      </c>
    </row>
    <row r="34" spans="1:17" ht="18.75">
      <c r="A34" s="647" t="s">
        <v>26</v>
      </c>
      <c r="B34" s="129">
        <v>2213.4</v>
      </c>
      <c r="C34" s="656">
        <v>2819.1689999999999</v>
      </c>
      <c r="D34" s="656">
        <v>3086.5059999999999</v>
      </c>
      <c r="E34" s="648">
        <f t="shared" si="7"/>
        <v>9.4828298693693025E-2</v>
      </c>
      <c r="F34" s="646">
        <f t="shared" si="8"/>
        <v>0.39446372097225968</v>
      </c>
      <c r="I34" s="646">
        <f t="shared" si="9"/>
        <v>0.39446372097225968</v>
      </c>
      <c r="J34" s="648">
        <f t="shared" si="10"/>
        <v>9.4828298693693025E-2</v>
      </c>
      <c r="K34" s="656">
        <f>D34</f>
        <v>3086.5059999999999</v>
      </c>
      <c r="L34" s="656">
        <f t="shared" ref="L34:L39" si="12">C34</f>
        <v>2819.1689999999999</v>
      </c>
      <c r="M34" s="656">
        <f t="shared" ref="M34:M39" si="13">B34</f>
        <v>2213.4</v>
      </c>
      <c r="N34" s="158" t="s">
        <v>94</v>
      </c>
      <c r="P34">
        <f>576.3+532.8</f>
        <v>1109.0999999999999</v>
      </c>
      <c r="Q34">
        <f>921.8+590.5</f>
        <v>1512.3</v>
      </c>
    </row>
    <row r="35" spans="1:17" ht="18.75">
      <c r="A35" s="10" t="s">
        <v>27</v>
      </c>
      <c r="B35" s="654">
        <v>2289.8000000000002</v>
      </c>
      <c r="C35" s="12">
        <v>2327.8000000000002</v>
      </c>
      <c r="D35" s="12">
        <v>2374.1999999999998</v>
      </c>
      <c r="E35" s="11">
        <f t="shared" si="7"/>
        <v>1.9932983933327542E-2</v>
      </c>
      <c r="F35" s="11">
        <f t="shared" si="8"/>
        <v>3.6859114333129384E-2</v>
      </c>
      <c r="I35" s="11">
        <f t="shared" si="9"/>
        <v>3.6859114333129384E-2</v>
      </c>
      <c r="J35" s="11">
        <f t="shared" si="10"/>
        <v>1.9932983933327542E-2</v>
      </c>
      <c r="K35" s="12">
        <f>D35</f>
        <v>2374.1999999999998</v>
      </c>
      <c r="L35" s="12">
        <f t="shared" si="12"/>
        <v>2327.8000000000002</v>
      </c>
      <c r="M35" s="12">
        <f t="shared" si="13"/>
        <v>2289.8000000000002</v>
      </c>
      <c r="N35" s="3" t="s">
        <v>36</v>
      </c>
      <c r="Q35">
        <f>Q34/P34-1</f>
        <v>0.3635380037868543</v>
      </c>
    </row>
    <row r="36" spans="1:17" ht="18.75">
      <c r="A36" s="10" t="s">
        <v>23</v>
      </c>
      <c r="B36" s="654">
        <v>1356</v>
      </c>
      <c r="C36" s="12">
        <v>1525.9739999999999</v>
      </c>
      <c r="D36" s="12">
        <v>1561.383</v>
      </c>
      <c r="E36" s="11">
        <f t="shared" si="7"/>
        <v>2.3204196139645861E-2</v>
      </c>
      <c r="F36" s="11">
        <f t="shared" si="8"/>
        <v>0.15146238938053092</v>
      </c>
      <c r="I36" s="11">
        <f t="shared" si="9"/>
        <v>0.15146238938053092</v>
      </c>
      <c r="J36" s="11">
        <f t="shared" si="10"/>
        <v>2.3204196139645861E-2</v>
      </c>
      <c r="K36" s="12">
        <f>D36</f>
        <v>1561.383</v>
      </c>
      <c r="L36" s="12">
        <f t="shared" si="12"/>
        <v>1525.9739999999999</v>
      </c>
      <c r="M36" s="12">
        <f t="shared" si="13"/>
        <v>1356</v>
      </c>
      <c r="N36" s="3" t="s">
        <v>32</v>
      </c>
      <c r="Q36">
        <f>123.7/111-1</f>
        <v>0.11441441441441436</v>
      </c>
    </row>
    <row r="37" spans="1:17" ht="18.75">
      <c r="A37" s="317" t="s">
        <v>22</v>
      </c>
      <c r="B37" s="655">
        <v>888.5</v>
      </c>
      <c r="C37" s="316">
        <v>1213.085</v>
      </c>
      <c r="D37" s="316">
        <v>1161.2049999999999</v>
      </c>
      <c r="E37" s="306">
        <f t="shared" si="7"/>
        <v>-4.2766994893185695E-2</v>
      </c>
      <c r="F37" s="646">
        <f t="shared" si="8"/>
        <v>0.30692740574001109</v>
      </c>
      <c r="I37" s="646">
        <f t="shared" si="9"/>
        <v>0.30692740574001109</v>
      </c>
      <c r="J37" s="306">
        <f t="shared" si="10"/>
        <v>-4.2766994893185695E-2</v>
      </c>
      <c r="K37" s="558">
        <f>D37</f>
        <v>1161.2049999999999</v>
      </c>
      <c r="L37" s="558">
        <f t="shared" si="12"/>
        <v>1213.085</v>
      </c>
      <c r="M37" s="558">
        <f t="shared" si="13"/>
        <v>888.5</v>
      </c>
      <c r="N37" s="307" t="s">
        <v>31</v>
      </c>
      <c r="Q37">
        <f>51.4/57.8-1</f>
        <v>-0.11072664359861595</v>
      </c>
    </row>
    <row r="38" spans="1:17" ht="18.75">
      <c r="A38" s="10" t="s">
        <v>28</v>
      </c>
      <c r="B38" s="654">
        <v>437.5</v>
      </c>
      <c r="C38" s="12">
        <v>471.5</v>
      </c>
      <c r="D38" s="12">
        <v>492.5</v>
      </c>
      <c r="E38" s="11">
        <f t="shared" si="7"/>
        <v>4.4538706256627814E-2</v>
      </c>
      <c r="F38" s="11">
        <f t="shared" si="8"/>
        <v>0.12571428571428567</v>
      </c>
      <c r="I38" s="11">
        <f t="shared" si="9"/>
        <v>0.12571428571428567</v>
      </c>
      <c r="J38" s="11">
        <f t="shared" si="10"/>
        <v>4.4538706256627814E-2</v>
      </c>
      <c r="K38" s="12">
        <f t="shared" si="11"/>
        <v>492.5</v>
      </c>
      <c r="L38" s="12">
        <f t="shared" si="12"/>
        <v>471.5</v>
      </c>
      <c r="M38" s="12">
        <f t="shared" si="13"/>
        <v>437.5</v>
      </c>
      <c r="N38" s="3" t="s">
        <v>37</v>
      </c>
      <c r="Q38">
        <f>262.6/350.1-1</f>
        <v>-0.24992859183090543</v>
      </c>
    </row>
    <row r="39" spans="1:17" ht="18.75">
      <c r="A39" s="10" t="s">
        <v>24</v>
      </c>
      <c r="B39" s="654">
        <v>255.2</v>
      </c>
      <c r="C39" s="12">
        <v>297.51600000000002</v>
      </c>
      <c r="D39" s="12">
        <v>301.42099999999999</v>
      </c>
      <c r="E39" s="11">
        <f t="shared" si="7"/>
        <v>1.3125344519286264E-2</v>
      </c>
      <c r="F39" s="11">
        <f t="shared" si="8"/>
        <v>0.18111677115987468</v>
      </c>
      <c r="I39" s="11">
        <f t="shared" si="9"/>
        <v>0.18111677115987468</v>
      </c>
      <c r="J39" s="11">
        <f t="shared" si="10"/>
        <v>1.3125344519286264E-2</v>
      </c>
      <c r="K39" s="100">
        <f t="shared" si="11"/>
        <v>301.42099999999999</v>
      </c>
      <c r="L39" s="100">
        <f t="shared" si="12"/>
        <v>297.51600000000002</v>
      </c>
      <c r="M39" s="100">
        <f t="shared" si="13"/>
        <v>255.2</v>
      </c>
      <c r="N39" s="3" t="s">
        <v>33</v>
      </c>
      <c r="Q39">
        <f>168.7/241.9-1</f>
        <v>-0.30260438197602324</v>
      </c>
    </row>
    <row r="40" spans="1:17" ht="22.5" customHeight="1">
      <c r="A40" s="304" t="s">
        <v>153</v>
      </c>
      <c r="B40" s="500">
        <v>20957</v>
      </c>
      <c r="C40" s="303">
        <v>24832.441999999999</v>
      </c>
      <c r="D40" s="303">
        <v>26092.281999999999</v>
      </c>
      <c r="E40" s="298">
        <f t="shared" si="7"/>
        <v>5.0733633043419601E-2</v>
      </c>
      <c r="F40" s="405">
        <f t="shared" si="8"/>
        <v>0.24503898458748874</v>
      </c>
      <c r="I40" s="509">
        <f t="shared" si="9"/>
        <v>0.24503898458748874</v>
      </c>
      <c r="J40" s="509">
        <f t="shared" si="10"/>
        <v>5.0733633043419601E-2</v>
      </c>
      <c r="K40" s="303">
        <f t="shared" si="11"/>
        <v>26092.281999999999</v>
      </c>
      <c r="L40" s="303">
        <f>C40</f>
        <v>24832.441999999999</v>
      </c>
      <c r="M40" s="303">
        <f>B40</f>
        <v>20957</v>
      </c>
      <c r="N40" s="103" t="s">
        <v>152</v>
      </c>
    </row>
    <row r="42" spans="1:17">
      <c r="C42" s="118"/>
    </row>
    <row r="45" spans="1:17" ht="27" customHeight="1"/>
    <row r="46" spans="1:17" ht="23.25" customHeight="1"/>
    <row r="48" spans="1:17" ht="48.75" customHeight="1"/>
    <row r="49" spans="1:9" ht="72" customHeight="1"/>
    <row r="50" spans="1:9" ht="60.75" customHeight="1" thickBot="1">
      <c r="A50" s="1012" t="s">
        <v>275</v>
      </c>
      <c r="B50" s="1012"/>
      <c r="C50" s="1012"/>
      <c r="D50" s="1012"/>
      <c r="E50" s="1012"/>
      <c r="F50" s="1012"/>
      <c r="G50" s="1012"/>
      <c r="H50" s="1012"/>
      <c r="I50" s="505"/>
    </row>
    <row r="51" spans="1:9" ht="42" customHeight="1" thickBot="1">
      <c r="A51" s="1013" t="s">
        <v>266</v>
      </c>
      <c r="B51" s="1013" t="s">
        <v>267</v>
      </c>
      <c r="C51" s="1008" t="s">
        <v>268</v>
      </c>
      <c r="D51" s="1009"/>
      <c r="E51" s="1015" t="s">
        <v>357</v>
      </c>
      <c r="F51" s="1015" t="s">
        <v>356</v>
      </c>
      <c r="G51" s="1015" t="s">
        <v>355</v>
      </c>
      <c r="H51" s="1010" t="s">
        <v>381</v>
      </c>
      <c r="I51" s="505"/>
    </row>
    <row r="52" spans="1:9" ht="42" customHeight="1" thickBot="1">
      <c r="A52" s="1014"/>
      <c r="B52" s="1014"/>
      <c r="C52" s="518" t="s">
        <v>225</v>
      </c>
      <c r="D52" s="518" t="s">
        <v>181</v>
      </c>
      <c r="E52" s="1016"/>
      <c r="F52" s="1016"/>
      <c r="G52" s="1016"/>
      <c r="H52" s="1011"/>
      <c r="I52" s="505"/>
    </row>
    <row r="53" spans="1:9" ht="57" customHeight="1" thickBot="1">
      <c r="A53" s="520" t="s">
        <v>358</v>
      </c>
      <c r="B53" s="512">
        <f>E53/$E$61</f>
        <v>1.819074521401708E-2</v>
      </c>
      <c r="C53" s="513">
        <f t="shared" ref="C53:C62" si="14">E53/G53-1</f>
        <v>3.7680088659033384E-3</v>
      </c>
      <c r="D53" s="512">
        <f t="shared" ref="D53:D62" si="15">E53/F53-1</f>
        <v>0.29498391516740163</v>
      </c>
      <c r="E53" s="665">
        <v>271.72000000000003</v>
      </c>
      <c r="F53" s="665">
        <v>209.82499999999999</v>
      </c>
      <c r="G53" s="514">
        <v>270.7</v>
      </c>
      <c r="H53" s="515" t="s">
        <v>327</v>
      </c>
      <c r="I53" s="505"/>
    </row>
    <row r="54" spans="1:9" ht="88.5" customHeight="1" thickBot="1">
      <c r="A54" s="521" t="s">
        <v>359</v>
      </c>
      <c r="B54" s="512">
        <f>E54/$E$61</f>
        <v>9.3224623568998508E-2</v>
      </c>
      <c r="C54" s="513">
        <f t="shared" si="14"/>
        <v>0.75513108142172936</v>
      </c>
      <c r="D54" s="513">
        <f t="shared" si="15"/>
        <v>0.17125559229312826</v>
      </c>
      <c r="E54" s="665">
        <v>1392.521</v>
      </c>
      <c r="F54" s="665">
        <v>1188.913</v>
      </c>
      <c r="G54" s="514">
        <v>793.4</v>
      </c>
      <c r="H54" s="515" t="s">
        <v>328</v>
      </c>
      <c r="I54" s="505"/>
    </row>
    <row r="55" spans="1:9" ht="53.25" customHeight="1">
      <c r="A55" s="703" t="s">
        <v>379</v>
      </c>
      <c r="B55" s="1024">
        <f>E55/$E$61</f>
        <v>9.993060309697907E-2</v>
      </c>
      <c r="C55" s="1021">
        <f>E55/G55-1</f>
        <v>-5.2139954279908474E-2</v>
      </c>
      <c r="D55" s="1021">
        <f>E55/F55-1</f>
        <v>4.0076701554446759E-2</v>
      </c>
      <c r="E55" s="1019">
        <v>1492.69</v>
      </c>
      <c r="F55" s="1019">
        <v>1435.173</v>
      </c>
      <c r="G55" s="1017">
        <v>1574.8</v>
      </c>
      <c r="H55" s="1026" t="s">
        <v>329</v>
      </c>
      <c r="I55" s="505"/>
    </row>
    <row r="56" spans="1:9" ht="56.25" customHeight="1" thickBot="1">
      <c r="A56" s="707" t="s">
        <v>380</v>
      </c>
      <c r="B56" s="1025"/>
      <c r="C56" s="1022"/>
      <c r="D56" s="1022"/>
      <c r="E56" s="1020"/>
      <c r="F56" s="1020"/>
      <c r="G56" s="1018"/>
      <c r="H56" s="1027"/>
      <c r="I56" s="505"/>
    </row>
    <row r="57" spans="1:9" ht="57" customHeight="1" thickBot="1">
      <c r="A57" s="520" t="s">
        <v>360</v>
      </c>
      <c r="B57" s="512">
        <f>E57/$E$61</f>
        <v>4.7478568032463239E-2</v>
      </c>
      <c r="C57" s="503">
        <f t="shared" si="14"/>
        <v>0.10244054096067168</v>
      </c>
      <c r="D57" s="503">
        <f t="shared" si="15"/>
        <v>4.3555032371983549E-2</v>
      </c>
      <c r="E57" s="653">
        <v>709.2</v>
      </c>
      <c r="F57" s="653">
        <v>679.6</v>
      </c>
      <c r="G57" s="300">
        <v>643.29999999999995</v>
      </c>
      <c r="H57" s="301" t="s">
        <v>269</v>
      </c>
      <c r="I57" s="505"/>
    </row>
    <row r="58" spans="1:9" ht="27.75" customHeight="1" thickBot="1">
      <c r="A58" s="522"/>
      <c r="B58" s="512">
        <f>E58/$E$61</f>
        <v>5.8640918625938641E-2</v>
      </c>
      <c r="C58" s="503">
        <f t="shared" si="14"/>
        <v>0.22013511631146399</v>
      </c>
      <c r="D58" s="503">
        <f t="shared" si="15"/>
        <v>7.3835335481980513E-2</v>
      </c>
      <c r="E58" s="653">
        <v>875.93499999999995</v>
      </c>
      <c r="F58" s="653">
        <v>815.70699999999999</v>
      </c>
      <c r="G58" s="300">
        <v>717.9</v>
      </c>
      <c r="H58" s="301" t="s">
        <v>270</v>
      </c>
      <c r="I58" s="505"/>
    </row>
    <row r="59" spans="1:9" ht="57" thickBot="1">
      <c r="A59" s="523" t="s">
        <v>361</v>
      </c>
      <c r="B59" s="512">
        <f>E59/$E$61</f>
        <v>0.23348985015062326</v>
      </c>
      <c r="C59" s="503">
        <f t="shared" si="14"/>
        <v>3.3545710475626045E-2</v>
      </c>
      <c r="D59" s="503">
        <f t="shared" si="15"/>
        <v>6.2999085644620534E-2</v>
      </c>
      <c r="E59" s="653">
        <v>3487.7</v>
      </c>
      <c r="F59" s="653">
        <v>3281</v>
      </c>
      <c r="G59" s="300">
        <v>3374.5</v>
      </c>
      <c r="H59" s="301" t="s">
        <v>271</v>
      </c>
      <c r="I59" s="505"/>
    </row>
    <row r="60" spans="1:9" ht="61.5" thickBot="1">
      <c r="A60" s="643" t="s">
        <v>362</v>
      </c>
      <c r="B60" s="512">
        <f>E60/$E$61</f>
        <v>0.44904469131098024</v>
      </c>
      <c r="C60" s="503">
        <f t="shared" si="14"/>
        <v>0.30237660673371902</v>
      </c>
      <c r="D60" s="503">
        <f t="shared" si="15"/>
        <v>5.8631536250731919E-2</v>
      </c>
      <c r="E60" s="653">
        <v>6707.5</v>
      </c>
      <c r="F60" s="653">
        <v>6336.01</v>
      </c>
      <c r="G60" s="300">
        <v>5150.2</v>
      </c>
      <c r="H60" s="301" t="s">
        <v>272</v>
      </c>
      <c r="I60" s="505"/>
    </row>
    <row r="61" spans="1:9" ht="41.25" thickBot="1">
      <c r="A61" s="526"/>
      <c r="B61" s="527">
        <f>SUM(B53:B60)</f>
        <v>1</v>
      </c>
      <c r="C61" s="528">
        <f t="shared" si="14"/>
        <v>0.1926151315789475</v>
      </c>
      <c r="D61" s="528">
        <f t="shared" si="15"/>
        <v>7.1061365123243458E-2</v>
      </c>
      <c r="E61" s="529">
        <f>SUM(E53:E60)</f>
        <v>14937.266</v>
      </c>
      <c r="F61" s="529">
        <f>SUM(F53:F60)</f>
        <v>13946.227999999999</v>
      </c>
      <c r="G61" s="529">
        <f>SUM(G53:G60)</f>
        <v>12524.8</v>
      </c>
      <c r="H61" s="530" t="s">
        <v>273</v>
      </c>
      <c r="I61" s="505"/>
    </row>
    <row r="62" spans="1:9" ht="41.25" thickBot="1">
      <c r="A62" s="526"/>
      <c r="B62" s="526"/>
      <c r="C62" s="528">
        <f t="shared" si="14"/>
        <v>0.19450776093468369</v>
      </c>
      <c r="D62" s="531">
        <f t="shared" si="15"/>
        <v>5.8364985122122626E-2</v>
      </c>
      <c r="E62" s="529">
        <v>18423.370999999999</v>
      </c>
      <c r="F62" s="529">
        <v>17407.388999999999</v>
      </c>
      <c r="G62" s="529">
        <v>15423.4</v>
      </c>
      <c r="H62" s="530" t="s">
        <v>274</v>
      </c>
      <c r="I62" s="505"/>
    </row>
    <row r="63" spans="1:9" ht="15" customHeight="1">
      <c r="B63" s="1023"/>
      <c r="C63" s="1023"/>
      <c r="D63" s="1023"/>
      <c r="E63" s="1023"/>
      <c r="F63" s="1023"/>
      <c r="G63" s="1023"/>
      <c r="H63" s="1023"/>
    </row>
    <row r="64" spans="1:9">
      <c r="B64" t="s">
        <v>365</v>
      </c>
      <c r="C64" t="s">
        <v>367</v>
      </c>
      <c r="D64" t="s">
        <v>368</v>
      </c>
    </row>
    <row r="65" spans="1:5">
      <c r="A65" t="s">
        <v>330</v>
      </c>
      <c r="B65" s="740">
        <f>G61</f>
        <v>12524.8</v>
      </c>
      <c r="C65" s="740">
        <f>F61</f>
        <v>13946.227999999999</v>
      </c>
      <c r="D65" s="740">
        <f>E61</f>
        <v>14937.266</v>
      </c>
      <c r="E65" s="118">
        <f>D65/B65-1</f>
        <v>0.1926151315789475</v>
      </c>
    </row>
  </sheetData>
  <mergeCells count="20">
    <mergeCell ref="G55:G56"/>
    <mergeCell ref="F55:F56"/>
    <mergeCell ref="E55:E56"/>
    <mergeCell ref="D55:D56"/>
    <mergeCell ref="B63:H63"/>
    <mergeCell ref="C55:C56"/>
    <mergeCell ref="B55:B56"/>
    <mergeCell ref="H55:H56"/>
    <mergeCell ref="C51:D51"/>
    <mergeCell ref="H51:H52"/>
    <mergeCell ref="A50:H50"/>
    <mergeCell ref="J3:N3"/>
    <mergeCell ref="A29:E29"/>
    <mergeCell ref="A51:A52"/>
    <mergeCell ref="E51:E52"/>
    <mergeCell ref="G51:G52"/>
    <mergeCell ref="F51:F52"/>
    <mergeCell ref="B51:B52"/>
    <mergeCell ref="A3:F3"/>
    <mergeCell ref="I29:N2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4:P86"/>
  <sheetViews>
    <sheetView topLeftCell="A18" workbookViewId="0">
      <selection activeCell="F23" sqref="F23"/>
    </sheetView>
  </sheetViews>
  <sheetFormatPr baseColWidth="10" defaultRowHeight="15"/>
  <cols>
    <col min="1" max="1" width="36.140625" customWidth="1"/>
    <col min="2" max="2" width="14.5703125" customWidth="1"/>
    <col min="3" max="3" width="18.7109375" customWidth="1"/>
    <col min="4" max="4" width="13.5703125" customWidth="1"/>
    <col min="5" max="5" width="18.7109375" customWidth="1"/>
    <col min="8" max="10" width="16.28515625" customWidth="1"/>
    <col min="11" max="11" width="41" customWidth="1"/>
  </cols>
  <sheetData>
    <row r="4" spans="1:11" ht="22.5">
      <c r="A4" s="532"/>
      <c r="B4" s="532" t="s">
        <v>332</v>
      </c>
      <c r="C4" s="532"/>
      <c r="D4" s="532"/>
      <c r="H4" s="1029" t="s">
        <v>322</v>
      </c>
      <c r="I4" s="1029"/>
      <c r="J4" s="1029"/>
      <c r="K4" s="1029"/>
    </row>
    <row r="5" spans="1:11" ht="18.75" customHeight="1">
      <c r="A5" s="860" t="s">
        <v>82</v>
      </c>
      <c r="B5" s="860"/>
      <c r="C5" s="860"/>
      <c r="D5" s="860"/>
      <c r="H5" s="90"/>
      <c r="I5" s="90"/>
      <c r="J5" s="90"/>
      <c r="K5" s="90"/>
    </row>
    <row r="6" spans="1:11" ht="21" customHeight="1">
      <c r="A6" s="37"/>
      <c r="B6" s="462" t="s">
        <v>409</v>
      </c>
      <c r="C6" s="462" t="s">
        <v>410</v>
      </c>
      <c r="D6" s="38" t="s">
        <v>83</v>
      </c>
      <c r="H6" s="91" t="s">
        <v>91</v>
      </c>
      <c r="I6" s="92" t="s">
        <v>93</v>
      </c>
      <c r="J6" s="92" t="s">
        <v>92</v>
      </c>
      <c r="K6" s="93"/>
    </row>
    <row r="7" spans="1:11" ht="10.5" customHeight="1">
      <c r="A7" s="39"/>
      <c r="B7" s="40"/>
      <c r="C7" s="40"/>
      <c r="D7" s="41"/>
      <c r="H7" s="43"/>
      <c r="I7" s="42"/>
      <c r="J7" s="42"/>
      <c r="K7" s="48"/>
    </row>
    <row r="8" spans="1:11" ht="22.5">
      <c r="A8" s="44" t="s">
        <v>84</v>
      </c>
      <c r="B8" s="87">
        <v>134.19999999999999</v>
      </c>
      <c r="C8" s="87">
        <v>137.80000000000001</v>
      </c>
      <c r="D8" s="88">
        <f>C8/B8-1</f>
        <v>2.6825633383010583E-2</v>
      </c>
      <c r="H8" s="88">
        <f t="shared" ref="H8:H13" si="0">D8</f>
        <v>2.6825633383010583E-2</v>
      </c>
      <c r="I8" s="87">
        <f t="shared" ref="I8:J13" si="1">B8</f>
        <v>134.19999999999999</v>
      </c>
      <c r="J8" s="87">
        <f t="shared" si="1"/>
        <v>137.80000000000001</v>
      </c>
      <c r="K8" s="89" t="s">
        <v>182</v>
      </c>
    </row>
    <row r="9" spans="1:11" ht="20.25">
      <c r="A9" s="45" t="s">
        <v>85</v>
      </c>
      <c r="B9" s="47">
        <v>128.30000000000001</v>
      </c>
      <c r="C9" s="47">
        <v>135.19999999999999</v>
      </c>
      <c r="D9" s="46">
        <f>C9/B9-1</f>
        <v>5.3780202650038689E-2</v>
      </c>
      <c r="H9" s="84">
        <f t="shared" si="0"/>
        <v>5.3780202650038689E-2</v>
      </c>
      <c r="I9" s="85">
        <f t="shared" si="1"/>
        <v>128.30000000000001</v>
      </c>
      <c r="J9" s="85">
        <f t="shared" si="1"/>
        <v>135.19999999999999</v>
      </c>
      <c r="K9" s="49" t="s">
        <v>52</v>
      </c>
    </row>
    <row r="10" spans="1:11" ht="20.25">
      <c r="A10" s="45" t="s">
        <v>86</v>
      </c>
      <c r="B10" s="47">
        <v>125.9</v>
      </c>
      <c r="C10" s="47">
        <v>128.5</v>
      </c>
      <c r="D10" s="46">
        <f>C10/B10-1</f>
        <v>2.0651310563939651E-2</v>
      </c>
      <c r="H10" s="84">
        <f t="shared" si="0"/>
        <v>2.0651310563939651E-2</v>
      </c>
      <c r="I10" s="85">
        <f t="shared" si="1"/>
        <v>125.9</v>
      </c>
      <c r="J10" s="85">
        <f t="shared" si="1"/>
        <v>128.5</v>
      </c>
      <c r="K10" s="49" t="s">
        <v>53</v>
      </c>
    </row>
    <row r="11" spans="1:11" ht="20.25">
      <c r="A11" s="45" t="s">
        <v>87</v>
      </c>
      <c r="B11" s="47">
        <v>270.39999999999998</v>
      </c>
      <c r="C11" s="47">
        <v>274.2</v>
      </c>
      <c r="D11" s="46">
        <f>C11/B11-1</f>
        <v>1.4053254437869755E-2</v>
      </c>
      <c r="H11" s="84">
        <f t="shared" si="0"/>
        <v>1.4053254437869755E-2</v>
      </c>
      <c r="I11" s="85">
        <f t="shared" si="1"/>
        <v>270.39999999999998</v>
      </c>
      <c r="J11" s="85">
        <f t="shared" si="1"/>
        <v>274.2</v>
      </c>
      <c r="K11" s="49" t="s">
        <v>54</v>
      </c>
    </row>
    <row r="12" spans="1:11" ht="20.25">
      <c r="A12" s="45" t="s">
        <v>88</v>
      </c>
      <c r="B12" s="47">
        <v>89.9</v>
      </c>
      <c r="C12" s="47">
        <v>97</v>
      </c>
      <c r="D12" s="46">
        <v>7.8E-2</v>
      </c>
      <c r="H12" s="84">
        <f t="shared" si="0"/>
        <v>7.8E-2</v>
      </c>
      <c r="I12" s="85">
        <f t="shared" si="1"/>
        <v>89.9</v>
      </c>
      <c r="J12" s="85">
        <f t="shared" si="1"/>
        <v>97</v>
      </c>
      <c r="K12" s="49" t="s">
        <v>94</v>
      </c>
    </row>
    <row r="13" spans="1:11" ht="20.25">
      <c r="A13" s="45" t="s">
        <v>89</v>
      </c>
      <c r="B13" s="47">
        <v>91.5</v>
      </c>
      <c r="C13" s="47">
        <v>94.1</v>
      </c>
      <c r="D13" s="46">
        <f>C13/B13-1</f>
        <v>2.841530054644803E-2</v>
      </c>
      <c r="H13" s="84">
        <f t="shared" si="0"/>
        <v>2.841530054644803E-2</v>
      </c>
      <c r="I13" s="85">
        <f t="shared" si="1"/>
        <v>91.5</v>
      </c>
      <c r="J13" s="85">
        <f t="shared" si="1"/>
        <v>94.1</v>
      </c>
      <c r="K13" s="49" t="s">
        <v>95</v>
      </c>
    </row>
    <row r="14" spans="1:11" ht="20.25">
      <c r="A14" s="45" t="s">
        <v>90</v>
      </c>
      <c r="B14" s="47">
        <v>152.5</v>
      </c>
      <c r="C14" s="47">
        <v>151.5</v>
      </c>
      <c r="D14" s="46">
        <v>-6.0000000000000001E-3</v>
      </c>
      <c r="H14" s="84"/>
      <c r="I14" s="85"/>
      <c r="J14" s="85"/>
      <c r="K14" s="49"/>
    </row>
    <row r="15" spans="1:11" ht="11.25" customHeight="1">
      <c r="A15" s="867"/>
      <c r="B15" s="867"/>
      <c r="C15" s="867"/>
      <c r="D15" s="867"/>
      <c r="H15" s="84"/>
      <c r="I15" s="85"/>
      <c r="J15" s="85"/>
      <c r="K15" s="49"/>
    </row>
    <row r="16" spans="1:11" ht="20.25">
      <c r="A16" s="45" t="s">
        <v>336</v>
      </c>
      <c r="B16" s="47">
        <v>46</v>
      </c>
      <c r="C16" s="47">
        <v>45.4</v>
      </c>
      <c r="D16" s="46">
        <v>-1.2E-2</v>
      </c>
      <c r="H16" s="84"/>
      <c r="I16" s="85"/>
      <c r="J16" s="85"/>
      <c r="K16" s="49"/>
    </row>
    <row r="17" spans="1:16" ht="20.25">
      <c r="A17" s="45" t="s">
        <v>159</v>
      </c>
      <c r="B17" s="47">
        <v>117.9</v>
      </c>
      <c r="C17" s="47">
        <v>118.7</v>
      </c>
      <c r="D17" s="46">
        <f t="shared" ref="D17" si="2">C17/B17-1</f>
        <v>6.785411365564098E-3</v>
      </c>
      <c r="H17" s="84">
        <f>D14</f>
        <v>-6.0000000000000001E-3</v>
      </c>
      <c r="I17" s="85">
        <f>B14</f>
        <v>152.5</v>
      </c>
      <c r="J17" s="85">
        <f>C14</f>
        <v>151.5</v>
      </c>
      <c r="K17" s="86" t="s">
        <v>32</v>
      </c>
    </row>
    <row r="18" spans="1:16" ht="23.25">
      <c r="A18" s="270" t="s">
        <v>150</v>
      </c>
      <c r="B18" s="859">
        <v>128.1</v>
      </c>
      <c r="C18" s="859">
        <v>131.1</v>
      </c>
      <c r="D18" s="268">
        <f>C18/B18-1</f>
        <v>2.3419203747072626E-2</v>
      </c>
      <c r="F18" s="102"/>
      <c r="H18" s="268">
        <f>D18</f>
        <v>2.3419203747072626E-2</v>
      </c>
      <c r="I18" s="269">
        <f>B18</f>
        <v>128.1</v>
      </c>
      <c r="J18" s="269">
        <f>C18</f>
        <v>131.1</v>
      </c>
      <c r="K18" s="230" t="s">
        <v>151</v>
      </c>
    </row>
    <row r="23" spans="1:16" ht="18.75">
      <c r="B23" s="45"/>
    </row>
    <row r="24" spans="1:16" ht="25.5">
      <c r="A24" s="543"/>
      <c r="B24" s="544" t="s">
        <v>332</v>
      </c>
      <c r="C24" s="544"/>
      <c r="D24" s="544"/>
      <c r="H24" s="1028" t="s">
        <v>337</v>
      </c>
      <c r="I24" s="1028"/>
      <c r="J24" s="1028"/>
      <c r="K24" s="1028"/>
    </row>
    <row r="25" spans="1:16" ht="22.5">
      <c r="A25" s="1031" t="s">
        <v>411</v>
      </c>
      <c r="B25" s="1031"/>
      <c r="C25" s="1031"/>
      <c r="D25" s="1031"/>
      <c r="H25" s="1030" t="s">
        <v>412</v>
      </c>
      <c r="I25" s="1030"/>
      <c r="J25" s="1030"/>
      <c r="K25" s="1030"/>
    </row>
    <row r="26" spans="1:16" ht="20.25">
      <c r="A26" s="93"/>
      <c r="B26" s="479" t="s">
        <v>181</v>
      </c>
      <c r="C26" s="480" t="s">
        <v>325</v>
      </c>
      <c r="D26" s="480" t="s">
        <v>324</v>
      </c>
      <c r="H26" s="479" t="s">
        <v>181</v>
      </c>
      <c r="I26" s="480" t="s">
        <v>325</v>
      </c>
      <c r="J26" s="480" t="s">
        <v>324</v>
      </c>
      <c r="K26" s="93"/>
    </row>
    <row r="27" spans="1:16" ht="25.5">
      <c r="A27" s="533" t="s">
        <v>333</v>
      </c>
      <c r="B27" s="866">
        <v>2.7</v>
      </c>
      <c r="C27" s="535">
        <v>-0.1</v>
      </c>
      <c r="D27" s="535">
        <v>-2</v>
      </c>
      <c r="F27" s="161"/>
      <c r="H27" s="869">
        <f>B27</f>
        <v>2.7</v>
      </c>
      <c r="I27" s="870">
        <f t="shared" ref="I27:J27" si="3">C27</f>
        <v>-0.1</v>
      </c>
      <c r="J27" s="878">
        <f t="shared" si="3"/>
        <v>-2</v>
      </c>
      <c r="K27" s="524" t="s">
        <v>182</v>
      </c>
    </row>
    <row r="28" spans="1:16" ht="21">
      <c r="A28" s="536" t="s">
        <v>85</v>
      </c>
      <c r="B28" s="539">
        <v>5.4</v>
      </c>
      <c r="C28" s="540">
        <v>6.4</v>
      </c>
      <c r="D28" s="540">
        <v>-0.2</v>
      </c>
      <c r="F28" s="161"/>
      <c r="H28" s="871">
        <f t="shared" ref="H28:H36" si="4">B28</f>
        <v>5.4</v>
      </c>
      <c r="I28" s="871">
        <f t="shared" ref="I28:I36" si="5">C28</f>
        <v>6.4</v>
      </c>
      <c r="J28" s="871">
        <f t="shared" ref="J28:J36" si="6">D28</f>
        <v>-0.2</v>
      </c>
      <c r="K28" s="477" t="s">
        <v>52</v>
      </c>
    </row>
    <row r="29" spans="1:16" s="320" customFormat="1" ht="21">
      <c r="A29" s="536" t="s">
        <v>86</v>
      </c>
      <c r="B29" s="539">
        <v>2.1</v>
      </c>
      <c r="C29" s="540">
        <v>-1.2</v>
      </c>
      <c r="D29" s="540">
        <v>-7.9</v>
      </c>
      <c r="E29"/>
      <c r="F29" s="161"/>
      <c r="G29"/>
      <c r="H29" s="871">
        <f t="shared" si="4"/>
        <v>2.1</v>
      </c>
      <c r="I29" s="871">
        <f t="shared" si="5"/>
        <v>-1.2</v>
      </c>
      <c r="J29" s="871">
        <f t="shared" si="6"/>
        <v>-7.9</v>
      </c>
      <c r="K29" s="477" t="s">
        <v>53</v>
      </c>
      <c r="L29"/>
      <c r="M29"/>
      <c r="N29"/>
      <c r="O29"/>
      <c r="P29"/>
    </row>
    <row r="30" spans="1:16" s="320" customFormat="1" ht="21">
      <c r="A30" s="536" t="s">
        <v>87</v>
      </c>
      <c r="B30" s="539">
        <v>1.4</v>
      </c>
      <c r="C30" s="540">
        <v>-1.3</v>
      </c>
      <c r="D30" s="540">
        <v>1.1000000000000001</v>
      </c>
      <c r="E30"/>
      <c r="F30" s="161"/>
      <c r="G30"/>
      <c r="H30" s="871">
        <f t="shared" si="4"/>
        <v>1.4</v>
      </c>
      <c r="I30" s="871">
        <f t="shared" si="5"/>
        <v>-1.3</v>
      </c>
      <c r="J30" s="871">
        <f t="shared" si="6"/>
        <v>1.1000000000000001</v>
      </c>
      <c r="K30" s="477" t="s">
        <v>54</v>
      </c>
      <c r="L30"/>
      <c r="M30"/>
      <c r="N30"/>
      <c r="O30"/>
      <c r="P30"/>
    </row>
    <row r="31" spans="1:16" ht="21">
      <c r="A31" s="536" t="s">
        <v>334</v>
      </c>
      <c r="B31" s="539">
        <v>7.8</v>
      </c>
      <c r="C31" s="540">
        <v>9.5</v>
      </c>
      <c r="D31" s="540">
        <v>-28.6</v>
      </c>
      <c r="F31" s="161"/>
      <c r="H31" s="871">
        <f t="shared" si="4"/>
        <v>7.8</v>
      </c>
      <c r="I31" s="871">
        <f t="shared" si="5"/>
        <v>9.5</v>
      </c>
      <c r="J31" s="871">
        <f t="shared" si="6"/>
        <v>-28.6</v>
      </c>
      <c r="K31" s="477" t="s">
        <v>94</v>
      </c>
    </row>
    <row r="32" spans="1:16" ht="21">
      <c r="A32" s="536" t="s">
        <v>335</v>
      </c>
      <c r="B32" s="539">
        <v>2.8</v>
      </c>
      <c r="C32" s="540">
        <v>-5.8</v>
      </c>
      <c r="D32" s="540">
        <v>0.5</v>
      </c>
      <c r="H32" s="871">
        <f t="shared" si="4"/>
        <v>2.8</v>
      </c>
      <c r="I32" s="871">
        <f t="shared" si="5"/>
        <v>-5.8</v>
      </c>
      <c r="J32" s="871">
        <f t="shared" si="6"/>
        <v>0.5</v>
      </c>
      <c r="K32" s="477" t="s">
        <v>95</v>
      </c>
    </row>
    <row r="33" spans="1:11" ht="21">
      <c r="A33" s="536" t="s">
        <v>90</v>
      </c>
      <c r="B33" s="542">
        <v>-0.6</v>
      </c>
      <c r="C33" s="540">
        <v>0.9</v>
      </c>
      <c r="D33" s="540">
        <v>7.5</v>
      </c>
      <c r="H33" s="871">
        <f t="shared" si="4"/>
        <v>-0.6</v>
      </c>
      <c r="I33" s="871">
        <f t="shared" si="5"/>
        <v>0.9</v>
      </c>
      <c r="J33" s="871">
        <f t="shared" si="6"/>
        <v>7.5</v>
      </c>
      <c r="K33" s="478" t="s">
        <v>32</v>
      </c>
    </row>
    <row r="34" spans="1:11" ht="25.5">
      <c r="A34" s="537" t="s">
        <v>336</v>
      </c>
      <c r="B34" s="868">
        <v>-1.2</v>
      </c>
      <c r="C34" s="535">
        <v>29.6</v>
      </c>
      <c r="D34" s="535">
        <v>-61.9</v>
      </c>
      <c r="H34" s="872">
        <f t="shared" si="4"/>
        <v>-1.2</v>
      </c>
      <c r="I34" s="870">
        <f t="shared" si="5"/>
        <v>29.6</v>
      </c>
      <c r="J34" s="870">
        <f t="shared" si="6"/>
        <v>-61.9</v>
      </c>
      <c r="K34" s="481" t="s">
        <v>323</v>
      </c>
    </row>
    <row r="35" spans="1:11" ht="25.5">
      <c r="A35" s="537" t="s">
        <v>159</v>
      </c>
      <c r="B35" s="534">
        <v>0.7</v>
      </c>
      <c r="C35" s="535">
        <v>4.7</v>
      </c>
      <c r="D35" s="535">
        <v>-7.8</v>
      </c>
      <c r="H35" s="869">
        <f t="shared" si="4"/>
        <v>0.7</v>
      </c>
      <c r="I35" s="870">
        <f t="shared" si="5"/>
        <v>4.7</v>
      </c>
      <c r="J35" s="870">
        <f t="shared" si="6"/>
        <v>-7.8</v>
      </c>
      <c r="K35" s="481" t="s">
        <v>154</v>
      </c>
    </row>
    <row r="36" spans="1:11" ht="25.5">
      <c r="A36" s="538" t="s">
        <v>150</v>
      </c>
      <c r="B36" s="875">
        <v>2.2999999999999998</v>
      </c>
      <c r="C36" s="876">
        <v>1</v>
      </c>
      <c r="D36" s="541">
        <v>-4.5</v>
      </c>
      <c r="H36" s="874">
        <f t="shared" si="4"/>
        <v>2.2999999999999998</v>
      </c>
      <c r="I36" s="877">
        <f t="shared" si="5"/>
        <v>1</v>
      </c>
      <c r="J36" s="873">
        <f t="shared" si="6"/>
        <v>-4.5</v>
      </c>
      <c r="K36" s="519" t="s">
        <v>151</v>
      </c>
    </row>
    <row r="38" spans="1:11" ht="15" customHeight="1"/>
    <row r="39" spans="1:11" ht="15" customHeight="1"/>
    <row r="40" spans="1:11" ht="15" customHeight="1"/>
    <row r="45" spans="1:11">
      <c r="B45" s="862"/>
    </row>
    <row r="46" spans="1:11">
      <c r="B46" s="862"/>
    </row>
    <row r="47" spans="1:11">
      <c r="B47" s="862"/>
    </row>
    <row r="48" spans="1:11">
      <c r="B48" s="863"/>
    </row>
    <row r="49" spans="2:2">
      <c r="B49" s="862"/>
    </row>
    <row r="50" spans="2:2">
      <c r="B50" s="864"/>
    </row>
    <row r="51" spans="2:2">
      <c r="B51" s="863"/>
    </row>
    <row r="52" spans="2:2">
      <c r="B52" s="862"/>
    </row>
    <row r="53" spans="2:2">
      <c r="B53" s="862"/>
    </row>
    <row r="54" spans="2:2">
      <c r="B54" s="862"/>
    </row>
    <row r="55" spans="2:2">
      <c r="B55" s="862"/>
    </row>
    <row r="56" spans="2:2">
      <c r="B56" s="862"/>
    </row>
    <row r="57" spans="2:2">
      <c r="B57" s="865"/>
    </row>
    <row r="58" spans="2:2">
      <c r="B58" s="862"/>
    </row>
    <row r="59" spans="2:2">
      <c r="B59" s="862"/>
    </row>
    <row r="60" spans="2:2">
      <c r="B60" s="862"/>
    </row>
    <row r="61" spans="2:2">
      <c r="B61" s="862"/>
    </row>
    <row r="62" spans="2:2">
      <c r="B62" s="862"/>
    </row>
    <row r="63" spans="2:2">
      <c r="B63" s="862"/>
    </row>
    <row r="64" spans="2:2">
      <c r="B64" s="862"/>
    </row>
    <row r="65" spans="2:2">
      <c r="B65" s="862"/>
    </row>
    <row r="66" spans="2:2">
      <c r="B66" s="862"/>
    </row>
    <row r="67" spans="2:2">
      <c r="B67" s="862"/>
    </row>
    <row r="68" spans="2:2">
      <c r="B68" s="862"/>
    </row>
    <row r="69" spans="2:2">
      <c r="B69" s="863"/>
    </row>
    <row r="70" spans="2:2">
      <c r="B70" s="863"/>
    </row>
    <row r="71" spans="2:2">
      <c r="B71" s="862"/>
    </row>
    <row r="72" spans="2:2">
      <c r="B72" s="862"/>
    </row>
    <row r="73" spans="2:2">
      <c r="B73" s="862"/>
    </row>
    <row r="74" spans="2:2">
      <c r="B74" s="862"/>
    </row>
    <row r="75" spans="2:2">
      <c r="B75" s="862"/>
    </row>
    <row r="76" spans="2:2">
      <c r="B76" s="862"/>
    </row>
    <row r="77" spans="2:2">
      <c r="B77" s="864"/>
    </row>
    <row r="78" spans="2:2">
      <c r="B78" s="862"/>
    </row>
    <row r="79" spans="2:2">
      <c r="B79" s="862"/>
    </row>
    <row r="80" spans="2:2">
      <c r="B80" s="862"/>
    </row>
    <row r="81" spans="2:2">
      <c r="B81" s="865"/>
    </row>
    <row r="82" spans="2:2">
      <c r="B82" s="862"/>
    </row>
    <row r="83" spans="2:2">
      <c r="B83" s="865"/>
    </row>
    <row r="84" spans="2:2">
      <c r="B84" s="863"/>
    </row>
    <row r="85" spans="2:2">
      <c r="B85" s="862"/>
    </row>
    <row r="86" spans="2:2">
      <c r="B86" s="862"/>
    </row>
  </sheetData>
  <mergeCells count="4">
    <mergeCell ref="H24:K24"/>
    <mergeCell ref="H4:K4"/>
    <mergeCell ref="H25:K25"/>
    <mergeCell ref="A25:D2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O62"/>
  <sheetViews>
    <sheetView workbookViewId="0">
      <selection activeCell="A2" sqref="A2:C2"/>
    </sheetView>
  </sheetViews>
  <sheetFormatPr baseColWidth="10" defaultRowHeight="15"/>
  <cols>
    <col min="1" max="1" width="71.7109375" customWidth="1"/>
    <col min="2" max="2" width="31.5703125" customWidth="1"/>
    <col min="3" max="3" width="26.5703125" customWidth="1"/>
  </cols>
  <sheetData>
    <row r="2" spans="1:15" ht="29.25" customHeight="1">
      <c r="A2" s="1033" t="s">
        <v>415</v>
      </c>
      <c r="B2" s="1033"/>
      <c r="C2" s="1033"/>
    </row>
    <row r="3" spans="1:15" ht="14.25" customHeight="1" thickBot="1">
      <c r="A3" s="112"/>
      <c r="B3" s="112"/>
      <c r="C3" s="112"/>
    </row>
    <row r="4" spans="1:15" ht="60" customHeight="1" thickBot="1">
      <c r="A4" s="1034" t="s">
        <v>223</v>
      </c>
      <c r="B4" s="1035"/>
      <c r="C4" s="176" t="s">
        <v>183</v>
      </c>
    </row>
    <row r="5" spans="1:15" ht="18.75" thickTop="1">
      <c r="A5" s="177" t="s">
        <v>185</v>
      </c>
      <c r="B5" s="203" t="s">
        <v>184</v>
      </c>
      <c r="C5" s="178">
        <v>71</v>
      </c>
    </row>
    <row r="6" spans="1:15" ht="18">
      <c r="A6" s="179" t="s">
        <v>186</v>
      </c>
      <c r="B6" s="204" t="s">
        <v>27</v>
      </c>
      <c r="C6" s="180">
        <v>64</v>
      </c>
    </row>
    <row r="7" spans="1:15" ht="18">
      <c r="A7" s="179" t="s">
        <v>187</v>
      </c>
      <c r="B7" s="204" t="s">
        <v>25</v>
      </c>
      <c r="C7" s="180">
        <v>477</v>
      </c>
    </row>
    <row r="8" spans="1:15" ht="18">
      <c r="A8" s="177" t="s">
        <v>188</v>
      </c>
      <c r="B8" s="205" t="s">
        <v>24</v>
      </c>
      <c r="C8" s="178">
        <v>90</v>
      </c>
    </row>
    <row r="9" spans="1:15" ht="18">
      <c r="A9" s="179" t="s">
        <v>189</v>
      </c>
      <c r="B9" s="204" t="s">
        <v>28</v>
      </c>
      <c r="C9" s="180">
        <v>9</v>
      </c>
    </row>
    <row r="10" spans="1:15" ht="18">
      <c r="A10" s="179" t="s">
        <v>190</v>
      </c>
      <c r="B10" s="204" t="s">
        <v>22</v>
      </c>
      <c r="C10" s="180">
        <v>167</v>
      </c>
    </row>
    <row r="11" spans="1:15" ht="18">
      <c r="A11" s="179" t="s">
        <v>191</v>
      </c>
      <c r="B11" s="204" t="s">
        <v>26</v>
      </c>
      <c r="C11" s="180">
        <v>345</v>
      </c>
    </row>
    <row r="12" spans="1:15" ht="18">
      <c r="A12" s="181" t="s">
        <v>193</v>
      </c>
      <c r="B12" s="182" t="s">
        <v>192</v>
      </c>
      <c r="C12" s="202">
        <v>34</v>
      </c>
    </row>
    <row r="13" spans="1:15" ht="18.75" thickBot="1">
      <c r="A13" s="179" t="s">
        <v>195</v>
      </c>
      <c r="B13" s="204" t="s">
        <v>194</v>
      </c>
      <c r="C13" s="180">
        <v>52</v>
      </c>
    </row>
    <row r="14" spans="1:15" ht="19.5" thickTop="1" thickBot="1">
      <c r="A14" s="183" t="s">
        <v>197</v>
      </c>
      <c r="B14" s="206" t="s">
        <v>196</v>
      </c>
      <c r="C14" s="184">
        <v>696</v>
      </c>
      <c r="F14" s="206" t="s">
        <v>196</v>
      </c>
      <c r="G14" s="204" t="s">
        <v>25</v>
      </c>
      <c r="H14" s="204" t="s">
        <v>26</v>
      </c>
      <c r="I14" s="204" t="s">
        <v>22</v>
      </c>
      <c r="J14" s="205" t="s">
        <v>24</v>
      </c>
      <c r="K14" s="203" t="s">
        <v>184</v>
      </c>
      <c r="L14" s="204" t="s">
        <v>27</v>
      </c>
      <c r="M14" s="204" t="s">
        <v>194</v>
      </c>
      <c r="N14" s="182" t="s">
        <v>192</v>
      </c>
      <c r="O14" s="204" t="s">
        <v>28</v>
      </c>
    </row>
    <row r="15" spans="1:15" ht="21.75" thickTop="1" thickBot="1">
      <c r="A15" s="1036" t="s">
        <v>58</v>
      </c>
      <c r="B15" s="1037"/>
      <c r="C15" s="571">
        <f>SUM(C5:C14)</f>
        <v>2005</v>
      </c>
      <c r="F15">
        <v>696</v>
      </c>
      <c r="G15">
        <v>477</v>
      </c>
      <c r="H15">
        <v>345</v>
      </c>
      <c r="I15">
        <v>167</v>
      </c>
      <c r="J15">
        <v>90</v>
      </c>
      <c r="K15">
        <v>71</v>
      </c>
      <c r="L15">
        <v>64</v>
      </c>
      <c r="M15">
        <v>52</v>
      </c>
      <c r="N15">
        <v>34</v>
      </c>
      <c r="O15">
        <v>9</v>
      </c>
    </row>
    <row r="16" spans="1:15" ht="18">
      <c r="A16" s="112"/>
      <c r="B16" s="112"/>
      <c r="C16" s="112"/>
    </row>
    <row r="17" spans="1:3" ht="18">
      <c r="A17" s="175"/>
      <c r="B17" s="175"/>
      <c r="C17" s="175"/>
    </row>
    <row r="18" spans="1:3" ht="18">
      <c r="A18" s="175"/>
      <c r="B18" s="175"/>
      <c r="C18" s="175"/>
    </row>
    <row r="19" spans="1:3" ht="18">
      <c r="A19" s="175"/>
      <c r="B19" s="175"/>
      <c r="C19" s="175"/>
    </row>
    <row r="20" spans="1:3" ht="18">
      <c r="A20" s="175"/>
      <c r="B20" s="175"/>
      <c r="C20" s="175"/>
    </row>
    <row r="21" spans="1:3" ht="18">
      <c r="A21" s="175"/>
      <c r="B21" s="175"/>
      <c r="C21" s="175"/>
    </row>
    <row r="22" spans="1:3" ht="18">
      <c r="A22" s="175"/>
      <c r="B22" s="175"/>
      <c r="C22" s="175"/>
    </row>
    <row r="23" spans="1:3" ht="18">
      <c r="A23" s="175"/>
      <c r="B23" s="175"/>
      <c r="C23" s="175"/>
    </row>
    <row r="24" spans="1:3" ht="18">
      <c r="A24" s="175"/>
      <c r="B24" s="175"/>
      <c r="C24" s="175"/>
    </row>
    <row r="25" spans="1:3" ht="18">
      <c r="A25" s="175"/>
      <c r="B25" s="175"/>
      <c r="C25" s="175"/>
    </row>
    <row r="26" spans="1:3" ht="18">
      <c r="A26" s="175"/>
      <c r="B26" s="175"/>
      <c r="C26" s="175"/>
    </row>
    <row r="31" spans="1:3" ht="20.25">
      <c r="A31" s="1038" t="s">
        <v>198</v>
      </c>
      <c r="B31" s="1038"/>
    </row>
    <row r="32" spans="1:3" ht="15.75" thickBot="1">
      <c r="B32" s="1"/>
    </row>
    <row r="33" spans="1:2" ht="41.25" thickBot="1">
      <c r="A33" s="185" t="s">
        <v>199</v>
      </c>
      <c r="B33" s="186" t="s">
        <v>200</v>
      </c>
    </row>
    <row r="34" spans="1:2" ht="18.75" thickBot="1">
      <c r="A34" s="187" t="s">
        <v>201</v>
      </c>
      <c r="B34" s="188">
        <v>1380</v>
      </c>
    </row>
    <row r="35" spans="1:2" ht="18.75" thickBot="1">
      <c r="A35" s="187" t="s">
        <v>202</v>
      </c>
      <c r="B35" s="188">
        <v>179</v>
      </c>
    </row>
    <row r="36" spans="1:2" ht="18.75" thickBot="1">
      <c r="A36" s="187" t="s">
        <v>203</v>
      </c>
      <c r="B36" s="188">
        <v>95</v>
      </c>
    </row>
    <row r="37" spans="1:2" ht="18.75" thickBot="1">
      <c r="A37" s="187" t="s">
        <v>204</v>
      </c>
      <c r="B37" s="188">
        <v>19</v>
      </c>
    </row>
    <row r="38" spans="1:2" ht="18.75" thickBot="1">
      <c r="A38" s="187" t="s">
        <v>205</v>
      </c>
      <c r="B38" s="188">
        <v>61</v>
      </c>
    </row>
    <row r="39" spans="1:2" ht="18.75" thickBot="1">
      <c r="A39" s="187" t="s">
        <v>206</v>
      </c>
      <c r="B39" s="189">
        <v>8</v>
      </c>
    </row>
    <row r="40" spans="1:2" ht="20.25">
      <c r="A40" s="190" t="s">
        <v>207</v>
      </c>
      <c r="B40" s="191">
        <f>SUM(B34:B39)</f>
        <v>1742</v>
      </c>
    </row>
    <row r="41" spans="1:2" ht="18.75" thickBot="1">
      <c r="A41" s="187" t="s">
        <v>208</v>
      </c>
      <c r="B41" s="188">
        <v>169</v>
      </c>
    </row>
    <row r="42" spans="1:2" ht="18.75" thickBot="1">
      <c r="A42" s="187" t="s">
        <v>209</v>
      </c>
      <c r="B42" s="188">
        <v>97</v>
      </c>
    </row>
    <row r="43" spans="1:2" ht="18.75" thickBot="1">
      <c r="A43" s="187" t="s">
        <v>210</v>
      </c>
      <c r="B43" s="188">
        <v>130</v>
      </c>
    </row>
    <row r="44" spans="1:2" ht="18.75" thickBot="1">
      <c r="A44" s="187" t="s">
        <v>211</v>
      </c>
      <c r="B44" s="192">
        <v>180</v>
      </c>
    </row>
    <row r="45" spans="1:2" ht="18.75" thickBot="1">
      <c r="A45" s="187" t="s">
        <v>212</v>
      </c>
      <c r="B45" s="188">
        <v>19</v>
      </c>
    </row>
    <row r="46" spans="1:2" ht="18.75" thickBot="1">
      <c r="A46" s="187" t="s">
        <v>213</v>
      </c>
      <c r="B46" s="188">
        <v>12</v>
      </c>
    </row>
    <row r="47" spans="1:2" ht="18.75" thickBot="1">
      <c r="A47" s="187" t="s">
        <v>214</v>
      </c>
      <c r="B47" s="188">
        <v>3</v>
      </c>
    </row>
    <row r="48" spans="1:2" ht="18.75" thickBot="1">
      <c r="A48" s="187" t="s">
        <v>215</v>
      </c>
      <c r="B48" s="193">
        <v>24</v>
      </c>
    </row>
    <row r="49" spans="1:4" ht="18.75" thickBot="1">
      <c r="A49" s="187" t="s">
        <v>216</v>
      </c>
      <c r="B49" s="193">
        <v>5</v>
      </c>
    </row>
    <row r="50" spans="1:4" ht="20.25">
      <c r="A50" s="194" t="s">
        <v>217</v>
      </c>
      <c r="B50" s="195">
        <f>SUM(B41:B49)</f>
        <v>639</v>
      </c>
    </row>
    <row r="51" spans="1:4" ht="18.75" thickBot="1">
      <c r="A51" s="187" t="s">
        <v>218</v>
      </c>
      <c r="B51" s="188">
        <v>67</v>
      </c>
    </row>
    <row r="52" spans="1:4" ht="18.75" thickBot="1">
      <c r="A52" s="187" t="s">
        <v>219</v>
      </c>
      <c r="B52" s="188">
        <v>6</v>
      </c>
    </row>
    <row r="53" spans="1:4" ht="18.75" thickBot="1">
      <c r="A53" s="187" t="s">
        <v>220</v>
      </c>
      <c r="B53" s="193">
        <v>6</v>
      </c>
    </row>
    <row r="54" spans="1:4" ht="21" thickBot="1">
      <c r="A54" s="196" t="s">
        <v>221</v>
      </c>
      <c r="B54" s="197">
        <f>SUM(B51:B53)</f>
        <v>79</v>
      </c>
    </row>
    <row r="55" spans="1:4" ht="11.25" customHeight="1" thickBot="1">
      <c r="A55" s="198"/>
      <c r="B55" s="199"/>
    </row>
    <row r="56" spans="1:4" ht="21" thickBot="1">
      <c r="A56" s="200" t="s">
        <v>222</v>
      </c>
      <c r="B56" s="201">
        <f>B54+B50+B40</f>
        <v>2460</v>
      </c>
    </row>
    <row r="57" spans="1:4" ht="15" customHeight="1">
      <c r="A57" s="1039" t="s">
        <v>345</v>
      </c>
      <c r="B57" s="1039"/>
    </row>
    <row r="58" spans="1:4" ht="24" customHeight="1">
      <c r="A58" s="1032" t="s">
        <v>344</v>
      </c>
      <c r="B58" s="1032"/>
      <c r="C58" s="573"/>
      <c r="D58" s="573"/>
    </row>
    <row r="60" spans="1:4">
      <c r="A60" s="572"/>
    </row>
    <row r="62" spans="1:4">
      <c r="A62" s="107"/>
    </row>
  </sheetData>
  <mergeCells count="6">
    <mergeCell ref="A58:B58"/>
    <mergeCell ref="A2:C2"/>
    <mergeCell ref="A4:B4"/>
    <mergeCell ref="A15:B15"/>
    <mergeCell ref="A31:B31"/>
    <mergeCell ref="A57:B57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3:J27"/>
  <sheetViews>
    <sheetView topLeftCell="C1" workbookViewId="0">
      <selection activeCell="J31" sqref="J31"/>
    </sheetView>
  </sheetViews>
  <sheetFormatPr baseColWidth="10" defaultRowHeight="15"/>
  <cols>
    <col min="1" max="1" width="47.7109375" customWidth="1"/>
    <col min="2" max="4" width="18.42578125" customWidth="1"/>
    <col min="7" max="7" width="25.7109375" customWidth="1"/>
    <col min="8" max="9" width="16.7109375" customWidth="1"/>
    <col min="10" max="10" width="40.140625" customWidth="1"/>
  </cols>
  <sheetData>
    <row r="3" spans="1:10" ht="21">
      <c r="A3" s="1040" t="s">
        <v>146</v>
      </c>
      <c r="B3" s="1040"/>
      <c r="C3" s="1040"/>
      <c r="D3" s="1040"/>
      <c r="G3" s="1042" t="s">
        <v>131</v>
      </c>
      <c r="H3" s="1042"/>
      <c r="I3" s="1042"/>
      <c r="J3" s="1042"/>
    </row>
    <row r="4" spans="1:10" ht="21.75" thickBot="1">
      <c r="A4" s="1041"/>
      <c r="B4" s="1041"/>
      <c r="C4" s="1041"/>
      <c r="D4" s="1041"/>
      <c r="G4" s="1043" t="s">
        <v>408</v>
      </c>
      <c r="H4" s="1043"/>
      <c r="I4" s="1043"/>
      <c r="J4" s="1043"/>
    </row>
    <row r="5" spans="1:10" ht="21.75" thickTop="1">
      <c r="A5" s="64"/>
      <c r="B5" s="65" t="s">
        <v>351</v>
      </c>
      <c r="C5" s="65" t="s">
        <v>352</v>
      </c>
      <c r="D5" s="95" t="s">
        <v>143</v>
      </c>
      <c r="G5" s="78" t="s">
        <v>97</v>
      </c>
      <c r="H5" s="77" t="s">
        <v>92</v>
      </c>
      <c r="I5" s="77" t="s">
        <v>93</v>
      </c>
      <c r="J5" s="78"/>
    </row>
    <row r="6" spans="1:10" ht="18.75">
      <c r="A6" s="66" t="s">
        <v>121</v>
      </c>
      <c r="B6" s="67"/>
      <c r="C6" s="67"/>
      <c r="D6" s="68"/>
      <c r="G6" s="79"/>
      <c r="H6" s="79"/>
      <c r="I6" s="79"/>
      <c r="J6" s="79" t="s">
        <v>132</v>
      </c>
    </row>
    <row r="7" spans="1:10" ht="16.5">
      <c r="A7" s="69" t="s">
        <v>122</v>
      </c>
      <c r="B7" s="310">
        <v>333</v>
      </c>
      <c r="C7" s="310">
        <v>320</v>
      </c>
      <c r="D7" s="313">
        <f>C7/B7-1</f>
        <v>-3.9039039039039047E-2</v>
      </c>
      <c r="E7" s="94"/>
      <c r="G7" s="314">
        <f>D7</f>
        <v>-3.9039039039039047E-2</v>
      </c>
      <c r="H7" s="70">
        <f>C7</f>
        <v>320</v>
      </c>
      <c r="I7" s="70">
        <f>B7</f>
        <v>333</v>
      </c>
      <c r="J7" s="319" t="s">
        <v>133</v>
      </c>
    </row>
    <row r="8" spans="1:10" ht="16.5">
      <c r="A8" s="69" t="s">
        <v>123</v>
      </c>
      <c r="B8" s="310">
        <v>216</v>
      </c>
      <c r="C8" s="310">
        <v>245</v>
      </c>
      <c r="D8" s="96">
        <f>C8/B8-1</f>
        <v>0.1342592592592593</v>
      </c>
      <c r="E8" s="94"/>
      <c r="G8" s="97">
        <f>D8</f>
        <v>0.1342592592592593</v>
      </c>
      <c r="H8" s="70">
        <f>C8</f>
        <v>245</v>
      </c>
      <c r="I8" s="70">
        <f>B8</f>
        <v>216</v>
      </c>
      <c r="J8" s="80" t="s">
        <v>134</v>
      </c>
    </row>
    <row r="9" spans="1:10" ht="16.5">
      <c r="A9" s="69" t="s">
        <v>124</v>
      </c>
      <c r="B9" s="310">
        <v>343</v>
      </c>
      <c r="C9" s="310">
        <v>457</v>
      </c>
      <c r="D9" s="96">
        <f>C9/B9-1</f>
        <v>0.33236151603498532</v>
      </c>
      <c r="E9" s="94"/>
      <c r="G9" s="97">
        <f>D9</f>
        <v>0.33236151603498532</v>
      </c>
      <c r="H9" s="70">
        <f>C9</f>
        <v>457</v>
      </c>
      <c r="I9" s="70">
        <f>B9</f>
        <v>343</v>
      </c>
      <c r="J9" s="80" t="s">
        <v>135</v>
      </c>
    </row>
    <row r="10" spans="1:10" ht="16.5">
      <c r="A10" s="69" t="s">
        <v>125</v>
      </c>
      <c r="B10" s="310">
        <v>49.6</v>
      </c>
      <c r="C10" s="310">
        <v>65.3</v>
      </c>
      <c r="D10" s="96">
        <f>C10/B10-1</f>
        <v>0.31653225806451601</v>
      </c>
      <c r="E10" s="94"/>
      <c r="G10" s="97">
        <f>D10</f>
        <v>0.31653225806451601</v>
      </c>
      <c r="H10" s="70">
        <f>C10</f>
        <v>65.3</v>
      </c>
      <c r="I10" s="70">
        <f>B10</f>
        <v>49.6</v>
      </c>
      <c r="J10" s="80" t="s">
        <v>136</v>
      </c>
    </row>
    <row r="11" spans="1:10" ht="16.5">
      <c r="A11" s="69" t="s">
        <v>144</v>
      </c>
      <c r="B11" s="310">
        <v>19.100000000000001</v>
      </c>
      <c r="C11" s="310">
        <v>27.2</v>
      </c>
      <c r="D11" s="96">
        <f>C11/B11-1</f>
        <v>0.4240837696335078</v>
      </c>
      <c r="E11" s="94"/>
      <c r="G11" s="97">
        <f>D11</f>
        <v>0.4240837696335078</v>
      </c>
      <c r="H11" s="70">
        <f>C11</f>
        <v>27.2</v>
      </c>
      <c r="I11" s="70">
        <f>B11</f>
        <v>19.100000000000001</v>
      </c>
      <c r="J11" s="80" t="s">
        <v>145</v>
      </c>
    </row>
    <row r="12" spans="1:10" ht="16.5">
      <c r="A12" s="71"/>
      <c r="B12" s="525"/>
      <c r="C12" s="525"/>
      <c r="D12" s="72"/>
      <c r="E12" s="94"/>
      <c r="G12" s="72"/>
      <c r="H12" s="72"/>
      <c r="I12" s="72"/>
      <c r="J12" s="81"/>
    </row>
    <row r="13" spans="1:10" ht="18.75">
      <c r="A13" s="66" t="s">
        <v>126</v>
      </c>
      <c r="B13" s="73"/>
      <c r="C13" s="73"/>
      <c r="D13" s="74"/>
      <c r="E13" s="94"/>
      <c r="G13" s="74"/>
      <c r="H13" s="73"/>
      <c r="I13" s="73"/>
      <c r="J13" s="79" t="s">
        <v>137</v>
      </c>
    </row>
    <row r="14" spans="1:10" ht="16.5">
      <c r="A14" s="69" t="s">
        <v>127</v>
      </c>
      <c r="B14" s="310">
        <v>453</v>
      </c>
      <c r="C14" s="310">
        <v>434</v>
      </c>
      <c r="D14" s="313">
        <f>C14/B14-1</f>
        <v>-4.1942604856512133E-2</v>
      </c>
      <c r="E14" s="94"/>
      <c r="G14" s="314">
        <f>D14</f>
        <v>-4.1942604856512133E-2</v>
      </c>
      <c r="H14" s="70">
        <f>C14</f>
        <v>434</v>
      </c>
      <c r="I14" s="70">
        <f>B14</f>
        <v>453</v>
      </c>
      <c r="J14" s="80" t="s">
        <v>134</v>
      </c>
    </row>
    <row r="15" spans="1:10" ht="16.5">
      <c r="A15" s="69" t="s">
        <v>124</v>
      </c>
      <c r="B15" s="310">
        <v>22.9</v>
      </c>
      <c r="C15" s="310">
        <v>19.899999999999999</v>
      </c>
      <c r="D15" s="313">
        <f>C15/B15-1</f>
        <v>-0.13100436681222705</v>
      </c>
      <c r="E15" s="94"/>
      <c r="G15" s="314">
        <f>D15</f>
        <v>-0.13100436681222705</v>
      </c>
      <c r="H15" s="70">
        <f>C15</f>
        <v>19.899999999999999</v>
      </c>
      <c r="I15" s="70">
        <f>B15</f>
        <v>22.9</v>
      </c>
      <c r="J15" s="80" t="s">
        <v>135</v>
      </c>
    </row>
    <row r="16" spans="1:10" ht="16.5">
      <c r="A16" s="69" t="s">
        <v>125</v>
      </c>
      <c r="B16" s="310">
        <v>9.8000000000000007</v>
      </c>
      <c r="C16" s="310">
        <v>8.1999999999999993</v>
      </c>
      <c r="D16" s="313">
        <f>C16/B16-1</f>
        <v>-0.16326530612244916</v>
      </c>
      <c r="E16" s="94"/>
      <c r="G16" s="314">
        <f>D16</f>
        <v>-0.16326530612244916</v>
      </c>
      <c r="H16" s="315">
        <f>C16</f>
        <v>8.1999999999999993</v>
      </c>
      <c r="I16" s="315">
        <f>B16</f>
        <v>9.8000000000000007</v>
      </c>
      <c r="J16" s="80" t="s">
        <v>136</v>
      </c>
    </row>
    <row r="17" spans="1:10" ht="16.5">
      <c r="A17" s="69" t="s">
        <v>144</v>
      </c>
      <c r="B17" s="310">
        <v>4.0999999999999996</v>
      </c>
      <c r="C17" s="310">
        <v>4.5</v>
      </c>
      <c r="D17" s="96">
        <f>C17/B17-1</f>
        <v>9.7560975609756184E-2</v>
      </c>
      <c r="E17" s="94"/>
      <c r="G17" s="97">
        <f>D17</f>
        <v>9.7560975609756184E-2</v>
      </c>
      <c r="H17" s="315">
        <f>C17</f>
        <v>4.5</v>
      </c>
      <c r="I17" s="315">
        <f>B17</f>
        <v>4.0999999999999996</v>
      </c>
      <c r="J17" s="80" t="s">
        <v>145</v>
      </c>
    </row>
    <row r="18" spans="1:10" ht="16.5">
      <c r="A18" s="71"/>
      <c r="B18" s="72"/>
      <c r="C18" s="72"/>
      <c r="D18" s="72"/>
      <c r="E18" s="94"/>
      <c r="G18" s="72"/>
      <c r="H18" s="72"/>
      <c r="I18" s="72"/>
      <c r="J18" s="82"/>
    </row>
    <row r="19" spans="1:10" ht="18.75">
      <c r="A19" s="75" t="s">
        <v>128</v>
      </c>
      <c r="B19" s="73"/>
      <c r="C19" s="73"/>
      <c r="D19" s="74"/>
      <c r="E19" s="94"/>
      <c r="G19" s="74"/>
      <c r="H19" s="73"/>
      <c r="I19" s="73"/>
      <c r="J19" s="79" t="s">
        <v>138</v>
      </c>
    </row>
    <row r="20" spans="1:10" ht="16.5">
      <c r="A20" s="76" t="s">
        <v>129</v>
      </c>
      <c r="B20" s="311">
        <v>19</v>
      </c>
      <c r="C20" s="312">
        <v>21</v>
      </c>
      <c r="D20" s="96">
        <f>C20/B20-1</f>
        <v>0.10526315789473695</v>
      </c>
      <c r="E20" s="94"/>
      <c r="G20" s="97">
        <f>D20</f>
        <v>0.10526315789473695</v>
      </c>
      <c r="H20" s="70">
        <f>C20</f>
        <v>21</v>
      </c>
      <c r="I20" s="70">
        <f>B20</f>
        <v>19</v>
      </c>
      <c r="J20" s="80" t="s">
        <v>139</v>
      </c>
    </row>
    <row r="21" spans="1:10" ht="16.5">
      <c r="A21" s="76" t="s">
        <v>127</v>
      </c>
      <c r="B21" s="311">
        <v>7</v>
      </c>
      <c r="C21" s="312">
        <v>11</v>
      </c>
      <c r="D21" s="96">
        <f>C21/B21-1</f>
        <v>0.5714285714285714</v>
      </c>
      <c r="E21" s="94"/>
      <c r="G21" s="97">
        <f>D21</f>
        <v>0.5714285714285714</v>
      </c>
      <c r="H21" s="70">
        <f>C21</f>
        <v>11</v>
      </c>
      <c r="I21" s="70">
        <f>B21</f>
        <v>7</v>
      </c>
      <c r="J21" s="80" t="s">
        <v>134</v>
      </c>
    </row>
    <row r="22" spans="1:10" ht="16.5">
      <c r="A22" s="69" t="s">
        <v>130</v>
      </c>
      <c r="B22" s="311">
        <v>1.2</v>
      </c>
      <c r="C22" s="311">
        <v>2</v>
      </c>
      <c r="D22" s="96">
        <f>C22/B22-1</f>
        <v>0.66666666666666674</v>
      </c>
      <c r="E22" s="94"/>
      <c r="G22" s="97">
        <f>D22</f>
        <v>0.66666666666666674</v>
      </c>
      <c r="H22" s="70">
        <f>C22</f>
        <v>2</v>
      </c>
      <c r="I22" s="70">
        <f>B22</f>
        <v>1.2</v>
      </c>
      <c r="J22" s="80" t="s">
        <v>140</v>
      </c>
    </row>
    <row r="23" spans="1:10" ht="16.5">
      <c r="A23" s="71"/>
      <c r="B23" s="72"/>
      <c r="C23" s="72"/>
      <c r="D23" s="72"/>
      <c r="G23" s="83"/>
      <c r="H23" s="83"/>
      <c r="I23" s="83"/>
      <c r="J23" s="82"/>
    </row>
    <row r="27" spans="1:10">
      <c r="J27">
        <v>1</v>
      </c>
    </row>
  </sheetData>
  <mergeCells count="3">
    <mergeCell ref="A3:D4"/>
    <mergeCell ref="G3:J3"/>
    <mergeCell ref="G4:J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energie</vt:lpstr>
      <vt:lpstr>Mines</vt:lpstr>
      <vt:lpstr>ZDR</vt:lpstr>
      <vt:lpstr>investissements (APII)</vt:lpstr>
      <vt:lpstr>balance commerciale</vt:lpstr>
      <vt:lpstr>EX+Impt</vt:lpstr>
      <vt:lpstr>IPI</vt:lpstr>
      <vt:lpstr>qualité</vt:lpstr>
      <vt:lpstr>pmn</vt:lpstr>
      <vt:lpstr>IDE</vt:lpstr>
      <vt:lpstr>pépinières</vt:lpstr>
      <vt:lpstr>centre affaire</vt:lpstr>
      <vt:lpstr>essaimage</vt:lpstr>
      <vt:lpstr>dev-reg -nouv promo</vt:lpstr>
      <vt:lpstr>Feuil1</vt:lpstr>
      <vt:lpstr>Feuil2</vt:lpstr>
    </vt:vector>
  </TitlesOfParts>
  <Company>mit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jalila fadhlaoui</dc:creator>
  <cp:lastModifiedBy>noureddine bouraoui</cp:lastModifiedBy>
  <cp:lastPrinted>2013-09-18T14:52:30Z</cp:lastPrinted>
  <dcterms:created xsi:type="dcterms:W3CDTF">2013-06-10T12:33:09Z</dcterms:created>
  <dcterms:modified xsi:type="dcterms:W3CDTF">2013-10-03T10:13:42Z</dcterms:modified>
</cp:coreProperties>
</file>