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0785" windowHeight="7365" firstSheet="1" activeTab="1"/>
  </bookViews>
  <sheets>
    <sheet name="Mines" sheetId="1" state="hidden" r:id="rId1"/>
    <sheet name="CA" sheetId="17" r:id="rId2"/>
    <sheet name="PRODUCTION" sheetId="18" r:id="rId3"/>
    <sheet name="EXPORT" sheetId="19" r:id="rId4"/>
    <sheet name="ventes locales" sheetId="20" r:id="rId5"/>
  </sheets>
  <externalReferences>
    <externalReference r:id="rId6"/>
    <externalReference r:id="rId7"/>
  </externalReferences>
  <calcPr calcId="144525"/>
  <fileRecoveryPr autoRecover="0"/>
</workbook>
</file>

<file path=xl/calcChain.xml><?xml version="1.0" encoding="utf-8"?>
<calcChain xmlns="http://schemas.openxmlformats.org/spreadsheetml/2006/main">
  <c r="H33" i="17" l="1"/>
  <c r="R24" i="1" l="1"/>
  <c r="R26" i="1"/>
  <c r="R25" i="1"/>
  <c r="AF55" i="1" l="1"/>
  <c r="AF56" i="1" s="1"/>
  <c r="AE55" i="1"/>
  <c r="AD55" i="1"/>
  <c r="AA55" i="1"/>
  <c r="Z55" i="1"/>
  <c r="Y55" i="1"/>
  <c r="AF54" i="1"/>
  <c r="AE54" i="1"/>
  <c r="AE56" i="1" s="1"/>
  <c r="AD54" i="1"/>
  <c r="AB54" i="1" s="1"/>
  <c r="AA54" i="1"/>
  <c r="Z54" i="1"/>
  <c r="Y54" i="1"/>
  <c r="Y56" i="1" s="1"/>
  <c r="AC50" i="1"/>
  <c r="AB50" i="1"/>
  <c r="AC49" i="1"/>
  <c r="AB49" i="1"/>
  <c r="AC48" i="1"/>
  <c r="AB48" i="1"/>
  <c r="AC47" i="1"/>
  <c r="AB47" i="1"/>
  <c r="AC46" i="1"/>
  <c r="AB46" i="1"/>
  <c r="AC44" i="1"/>
  <c r="AB44" i="1"/>
  <c r="AC40" i="1"/>
  <c r="AB40" i="1"/>
  <c r="AC39" i="1"/>
  <c r="AB39" i="1"/>
  <c r="AC38" i="1"/>
  <c r="AB38" i="1"/>
  <c r="AC37" i="1"/>
  <c r="AB37" i="1"/>
  <c r="AC36" i="1"/>
  <c r="AB36" i="1"/>
  <c r="AC34" i="1"/>
  <c r="AC26" i="1"/>
  <c r="AB26" i="1"/>
  <c r="AC25" i="1"/>
  <c r="AB25" i="1"/>
  <c r="AC24" i="1"/>
  <c r="AB24" i="1"/>
  <c r="AC23" i="1"/>
  <c r="AC22" i="1"/>
  <c r="AB22" i="1"/>
  <c r="AC20" i="1"/>
  <c r="AC15" i="1"/>
  <c r="AB15" i="1"/>
  <c r="AF14" i="1"/>
  <c r="AE14" i="1"/>
  <c r="AD14" i="1"/>
  <c r="AB14" i="1" s="1"/>
  <c r="Z14" i="1"/>
  <c r="Y14" i="1"/>
  <c r="AF13" i="1"/>
  <c r="AE13" i="1"/>
  <c r="AD13" i="1"/>
  <c r="AB13" i="1" s="1"/>
  <c r="Y13" i="1"/>
  <c r="AF12" i="1"/>
  <c r="AE12" i="1"/>
  <c r="AD12" i="1"/>
  <c r="AB12" i="1" s="1"/>
  <c r="Y12" i="1"/>
  <c r="AC11" i="1"/>
  <c r="AB11" i="1"/>
  <c r="AA11" i="1"/>
  <c r="AA14" i="1" s="1"/>
  <c r="AC10" i="1"/>
  <c r="AB10" i="1"/>
  <c r="AA10" i="1"/>
  <c r="AA13" i="1" s="1"/>
  <c r="Z10" i="1"/>
  <c r="Z13" i="1" s="1"/>
  <c r="AF9" i="1"/>
  <c r="AE9" i="1"/>
  <c r="AD9" i="1"/>
  <c r="AC9" i="1" s="1"/>
  <c r="AB9" i="1"/>
  <c r="AA9" i="1"/>
  <c r="Y9" i="1"/>
  <c r="AC8" i="1"/>
  <c r="AC7" i="1"/>
  <c r="AB7" i="1"/>
  <c r="Z7" i="1"/>
  <c r="AJ15" i="1"/>
  <c r="Z56" i="1" l="1"/>
  <c r="AA56" i="1"/>
  <c r="AC55" i="1"/>
  <c r="AC54" i="1"/>
  <c r="AC12" i="1"/>
  <c r="AC13" i="1"/>
  <c r="AC14" i="1"/>
  <c r="AD56" i="1"/>
  <c r="AA12" i="1"/>
  <c r="AC56" i="1" l="1"/>
  <c r="AB56" i="1"/>
  <c r="E14" i="18"/>
  <c r="D14" i="18"/>
  <c r="G33" i="17" l="1"/>
  <c r="H40" i="17"/>
  <c r="E9" i="17"/>
  <c r="D9" i="17"/>
  <c r="G14" i="18"/>
  <c r="G40" i="17"/>
  <c r="G36" i="17"/>
  <c r="C9" i="17"/>
  <c r="C14" i="18"/>
  <c r="F14" i="18" s="1"/>
  <c r="G37" i="17"/>
  <c r="H36" i="17"/>
  <c r="H39" i="17"/>
  <c r="H35" i="17"/>
  <c r="G35" i="17"/>
  <c r="E13" i="19"/>
  <c r="G39" i="17" l="1"/>
  <c r="H37" i="17"/>
  <c r="H38" i="17"/>
  <c r="G38" i="17"/>
  <c r="G34" i="17"/>
  <c r="H34" i="17"/>
  <c r="G9" i="17"/>
  <c r="F9" i="17"/>
  <c r="H32" i="17"/>
  <c r="G32" i="17"/>
  <c r="E10" i="18"/>
  <c r="D10" i="18"/>
  <c r="C10" i="18"/>
  <c r="F10" i="18" l="1"/>
  <c r="G10" i="18"/>
  <c r="D13" i="20"/>
  <c r="E13" i="20"/>
  <c r="F13" i="20"/>
  <c r="D11" i="20"/>
  <c r="E11" i="20"/>
  <c r="F11" i="20"/>
  <c r="D10" i="20"/>
  <c r="E10" i="20"/>
  <c r="F10" i="20"/>
  <c r="D12" i="20"/>
  <c r="E12" i="20"/>
  <c r="F12" i="20"/>
  <c r="D9" i="20"/>
  <c r="E9" i="20"/>
  <c r="F9" i="20"/>
  <c r="D7" i="20"/>
  <c r="E7" i="20"/>
  <c r="F7" i="20"/>
  <c r="D12" i="19"/>
  <c r="E12" i="19"/>
  <c r="F12" i="19"/>
  <c r="D13" i="19"/>
  <c r="F13" i="19"/>
  <c r="H13" i="19" s="1"/>
  <c r="D9" i="19"/>
  <c r="E9" i="19"/>
  <c r="F9" i="19"/>
  <c r="D10" i="19"/>
  <c r="E10" i="19"/>
  <c r="F10" i="19"/>
  <c r="D11" i="19"/>
  <c r="E11" i="19"/>
  <c r="F11" i="19"/>
  <c r="D7" i="19"/>
  <c r="E7" i="19"/>
  <c r="F7" i="19"/>
  <c r="E11" i="18"/>
  <c r="D11" i="18"/>
  <c r="C11" i="18"/>
  <c r="E9" i="18"/>
  <c r="D9" i="18"/>
  <c r="C9" i="18"/>
  <c r="E13" i="18"/>
  <c r="D13" i="18"/>
  <c r="C13" i="18"/>
  <c r="E12" i="18"/>
  <c r="D12" i="18"/>
  <c r="C12" i="18"/>
  <c r="E7" i="18"/>
  <c r="D7" i="18"/>
  <c r="C7" i="18"/>
  <c r="G7" i="19" l="1"/>
  <c r="H7" i="19"/>
  <c r="H11" i="19"/>
  <c r="G11" i="19"/>
  <c r="G12" i="20"/>
  <c r="H12" i="20"/>
  <c r="G12" i="18"/>
  <c r="F12" i="18"/>
  <c r="H10" i="19"/>
  <c r="G10" i="19"/>
  <c r="H12" i="19"/>
  <c r="G12" i="19"/>
  <c r="G10" i="20"/>
  <c r="H10" i="20"/>
  <c r="G7" i="18"/>
  <c r="F7" i="18"/>
  <c r="F11" i="18"/>
  <c r="G11" i="18"/>
  <c r="G13" i="18"/>
  <c r="F13" i="18"/>
  <c r="H9" i="19"/>
  <c r="G9" i="19"/>
  <c r="G7" i="20"/>
  <c r="H7" i="20"/>
  <c r="G11" i="20"/>
  <c r="H11" i="20"/>
  <c r="G9" i="18"/>
  <c r="F9" i="18"/>
  <c r="G13" i="19"/>
  <c r="H9" i="20"/>
  <c r="G9" i="20"/>
  <c r="H13" i="20"/>
  <c r="G13" i="20"/>
  <c r="N54" i="1"/>
  <c r="M27" i="1"/>
  <c r="N27" i="1"/>
  <c r="M54" i="1"/>
  <c r="O54" i="1"/>
  <c r="C6" i="17"/>
  <c r="D6" i="17"/>
  <c r="E6" i="17"/>
  <c r="K54" i="1" l="1"/>
  <c r="D14" i="19"/>
  <c r="D15" i="20"/>
  <c r="F14" i="19"/>
  <c r="E14" i="19"/>
  <c r="F15" i="20"/>
  <c r="E15" i="20"/>
  <c r="G12" i="17"/>
  <c r="G11" i="17"/>
  <c r="F11" i="17"/>
  <c r="F13" i="17"/>
  <c r="G13" i="17"/>
  <c r="G6" i="17"/>
  <c r="F6" i="17"/>
  <c r="F12" i="17"/>
  <c r="G7" i="17"/>
  <c r="F7" i="17"/>
  <c r="M56" i="1"/>
  <c r="F10" i="17" l="1"/>
  <c r="G10" i="17"/>
  <c r="F8" i="17"/>
  <c r="H15" i="20"/>
  <c r="G15" i="20"/>
  <c r="G14" i="19"/>
  <c r="H14" i="19"/>
  <c r="G8" i="17"/>
</calcChain>
</file>

<file path=xl/sharedStrings.xml><?xml version="1.0" encoding="utf-8"?>
<sst xmlns="http://schemas.openxmlformats.org/spreadsheetml/2006/main" count="293" uniqueCount="83">
  <si>
    <t>-</t>
  </si>
  <si>
    <t>Phosphate</t>
  </si>
  <si>
    <t>dérivés phosphatés</t>
  </si>
  <si>
    <t xml:space="preserve">export </t>
  </si>
  <si>
    <t>local</t>
  </si>
  <si>
    <t>مشتقات الفسفاط</t>
  </si>
  <si>
    <t>Acide Phosphorique 54%</t>
  </si>
  <si>
    <t>TSP</t>
  </si>
  <si>
    <t>DAP</t>
  </si>
  <si>
    <t>DCP</t>
  </si>
  <si>
    <t>الحامض الفسفوري 54%</t>
  </si>
  <si>
    <t>ثاني فسفاط الأمونيا</t>
  </si>
  <si>
    <t>ثاني فسفاط الكلس</t>
  </si>
  <si>
    <t>المجموع</t>
  </si>
  <si>
    <t>Ventes locales (mille tonnes)</t>
  </si>
  <si>
    <t>Taux de change</t>
  </si>
  <si>
    <t>قطاع الفسفاط ومشتقاته</t>
  </si>
  <si>
    <t>رقم المعاملات ( م د )</t>
  </si>
  <si>
    <t>الفسفاط</t>
  </si>
  <si>
    <t>التصدير</t>
  </si>
  <si>
    <t>المحلي</t>
  </si>
  <si>
    <t>رقم المعاملات الإجمالي</t>
  </si>
  <si>
    <t>سعر الدولار بالدينار التونسي</t>
  </si>
  <si>
    <t>ثلاثي الفسفاط الرفيع</t>
  </si>
  <si>
    <t xml:space="preserve">فسفاط الصوديوم </t>
  </si>
  <si>
    <t>فسفاط الصوديوم</t>
  </si>
  <si>
    <t>نسبة النمو %</t>
  </si>
  <si>
    <t>STPP</t>
  </si>
  <si>
    <t xml:space="preserve"> </t>
  </si>
  <si>
    <t>الإنتاج (ألف طن)</t>
  </si>
  <si>
    <t>التصدير( ألف طن)</t>
  </si>
  <si>
    <t>المبيعات المحلية (ألف طن)</t>
  </si>
  <si>
    <t>رقم معاملات التصدير م.د</t>
  </si>
  <si>
    <t>تصدير مشتقات الفسفاط م.د</t>
  </si>
  <si>
    <t>المبيعات المحلية للفسفاط م.د</t>
  </si>
  <si>
    <t>Chiffre d'Affaire export  M$</t>
  </si>
  <si>
    <t>Exportations (mille tonnes)</t>
  </si>
  <si>
    <t>dérivés phosphatés en MD</t>
  </si>
  <si>
    <t>Dérivés phosphatés  en MD</t>
  </si>
  <si>
    <t>Phosphate en MD</t>
  </si>
  <si>
    <t>تصدير مشتقات الفسفاط (م.د)</t>
  </si>
  <si>
    <t>و 2014 (وقتـي)</t>
  </si>
  <si>
    <t>(مليون دولارا)</t>
  </si>
  <si>
    <t xml:space="preserve">رقم المعاملات </t>
  </si>
  <si>
    <t>السنوي</t>
  </si>
  <si>
    <t>الفارق</t>
  </si>
  <si>
    <t>المنجز إلى موفى جانفي</t>
  </si>
  <si>
    <t>تقديرات 2014</t>
  </si>
  <si>
    <t>2013 وقتي</t>
  </si>
  <si>
    <t>2012  (وقتـي)</t>
  </si>
  <si>
    <t>2013/2014</t>
  </si>
  <si>
    <t>2010/2014</t>
  </si>
  <si>
    <t>2014 وقتي</t>
  </si>
  <si>
    <t>رقم معاملات التصدير</t>
  </si>
  <si>
    <t>رقم المعاملات الإجمالي = إجمالي مشتقات الفسفاط + تصدير الفسفاط</t>
  </si>
  <si>
    <t>(ألف طن)</t>
  </si>
  <si>
    <t>الإنتاج</t>
  </si>
  <si>
    <t>المواد</t>
  </si>
  <si>
    <t xml:space="preserve">أحادي + ثاني فسفاط الأمونيا </t>
  </si>
  <si>
    <t>الجدول عدد 2 (يتبع)</t>
  </si>
  <si>
    <t xml:space="preserve">التصدير </t>
  </si>
  <si>
    <t xml:space="preserve">المبيعات المحلية </t>
  </si>
  <si>
    <t xml:space="preserve">شراءات المواد الأوّلية </t>
  </si>
  <si>
    <t>الكبريت</t>
  </si>
  <si>
    <t>الأمونيا</t>
  </si>
  <si>
    <t>Production (mille tonnes)</t>
  </si>
  <si>
    <t>14/13</t>
  </si>
  <si>
    <t>14/10</t>
  </si>
  <si>
    <t xml:space="preserve">dérivés phosphatés </t>
  </si>
  <si>
    <r>
      <t>Phosphate</t>
    </r>
    <r>
      <rPr>
        <b/>
        <sz val="12"/>
        <rFont val="Calibri"/>
        <family val="2"/>
        <scheme val="minor"/>
      </rPr>
      <t xml:space="preserve"> </t>
    </r>
  </si>
  <si>
    <t>الأرقام المسجلة إلـى موفى فيفري 2010، 2013 (وقتي)</t>
  </si>
  <si>
    <t>المنجز إلى موفى فيفري</t>
  </si>
  <si>
    <t xml:space="preserve">% 100  &lt; </t>
  </si>
  <si>
    <t>إلى موفى فيفري</t>
  </si>
  <si>
    <t>A Fin Fevrier</t>
  </si>
  <si>
    <t>02 mois 2010</t>
  </si>
  <si>
    <t>02 mois 2013</t>
  </si>
  <si>
    <t>02 mois 2014</t>
  </si>
  <si>
    <t>Chiffre d'affaire en M$</t>
  </si>
  <si>
    <t>Chiffre d'Affaire global*  M$</t>
  </si>
  <si>
    <t>Chiffre d'affaire MD</t>
  </si>
  <si>
    <t>Chiffre d'Affaire global</t>
  </si>
  <si>
    <t xml:space="preserve">Chiffre d'Affaire export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</si>
</sst>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0.0000"/>
    <numFmt numFmtId="167" formatCode="#,##0.0"/>
    <numFmt numFmtId="168" formatCode="#,##0.0000"/>
    <numFmt numFmtId="169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Traditional Arabic"/>
      <family val="1"/>
    </font>
    <font>
      <b/>
      <sz val="28"/>
      <color rgb="FF0000FF"/>
      <name val="Traditional Arabic"/>
      <family val="1"/>
    </font>
    <font>
      <b/>
      <sz val="20"/>
      <name val="Traditional Arabic"/>
      <family val="1"/>
    </font>
    <font>
      <b/>
      <sz val="20"/>
      <color theme="1"/>
      <name val="Traditional Arabic"/>
      <family val="1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raditional Arabic"/>
      <family val="1"/>
    </font>
    <font>
      <sz val="14"/>
      <name val="Traditional Arabic"/>
      <family val="1"/>
    </font>
    <font>
      <b/>
      <sz val="12"/>
      <color rgb="FFFF0000"/>
      <name val="Calibri"/>
      <family val="2"/>
      <scheme val="minor"/>
    </font>
    <font>
      <b/>
      <sz val="22"/>
      <color rgb="FFFF0000"/>
      <name val="Traditional Arabic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Traditional Arabic"/>
      <family val="1"/>
    </font>
    <font>
      <sz val="11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theme="0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164" fontId="5" fillId="3" borderId="0" xfId="1" applyNumberFormat="1" applyFont="1" applyFill="1" applyAlignment="1">
      <alignment horizontal="center"/>
    </xf>
    <xf numFmtId="0" fontId="13" fillId="3" borderId="0" xfId="0" applyFont="1" applyFill="1"/>
    <xf numFmtId="165" fontId="0" fillId="0" borderId="0" xfId="0" applyNumberFormat="1"/>
    <xf numFmtId="0" fontId="0" fillId="6" borderId="0" xfId="0" applyFill="1"/>
    <xf numFmtId="0" fontId="0" fillId="10" borderId="9" xfId="0" applyFill="1" applyBorder="1"/>
    <xf numFmtId="0" fontId="0" fillId="10" borderId="9" xfId="0" applyFont="1" applyFill="1" applyBorder="1"/>
    <xf numFmtId="0" fontId="0" fillId="10" borderId="0" xfId="0" applyFill="1" applyBorder="1"/>
    <xf numFmtId="0" fontId="0" fillId="10" borderId="0" xfId="0" applyFont="1" applyFill="1" applyBorder="1"/>
    <xf numFmtId="0" fontId="16" fillId="10" borderId="0" xfId="0" applyFont="1" applyFill="1" applyBorder="1"/>
    <xf numFmtId="0" fontId="10" fillId="12" borderId="26" xfId="0" quotePrefix="1" applyFont="1" applyFill="1" applyBorder="1" applyAlignment="1">
      <alignment horizontal="center" vertical="center"/>
    </xf>
    <xf numFmtId="16" fontId="10" fillId="12" borderId="27" xfId="0" quotePrefix="1" applyNumberFormat="1" applyFont="1" applyFill="1" applyBorder="1" applyAlignment="1">
      <alignment horizontal="center" vertical="center"/>
    </xf>
    <xf numFmtId="0" fontId="0" fillId="10" borderId="8" xfId="0" applyFill="1" applyBorder="1"/>
    <xf numFmtId="0" fontId="0" fillId="10" borderId="8" xfId="0" applyFont="1" applyFill="1" applyBorder="1"/>
    <xf numFmtId="3" fontId="16" fillId="10" borderId="8" xfId="0" applyNumberFormat="1" applyFont="1" applyFill="1" applyBorder="1" applyAlignment="1">
      <alignment horizontal="right" vertical="center" indent="1"/>
    </xf>
    <xf numFmtId="0" fontId="16" fillId="10" borderId="8" xfId="0" applyFont="1" applyFill="1" applyBorder="1" applyAlignment="1">
      <alignment horizontal="right" vertical="center" indent="1"/>
    </xf>
    <xf numFmtId="3" fontId="16" fillId="10" borderId="0" xfId="0" applyNumberFormat="1" applyFont="1" applyFill="1" applyBorder="1" applyAlignment="1">
      <alignment horizontal="right" vertical="center" indent="1"/>
    </xf>
    <xf numFmtId="0" fontId="16" fillId="10" borderId="0" xfId="0" applyFont="1" applyFill="1" applyBorder="1" applyAlignment="1">
      <alignment horizontal="right" vertical="center" indent="1"/>
    </xf>
    <xf numFmtId="0" fontId="0" fillId="10" borderId="0" xfId="0" applyFill="1"/>
    <xf numFmtId="0" fontId="0" fillId="10" borderId="0" xfId="0" applyFont="1" applyFill="1"/>
    <xf numFmtId="3" fontId="16" fillId="10" borderId="9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9" fontId="16" fillId="10" borderId="0" xfId="1" applyFont="1" applyFill="1" applyBorder="1"/>
    <xf numFmtId="164" fontId="26" fillId="3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/>
    </xf>
    <xf numFmtId="2" fontId="5" fillId="0" borderId="0" xfId="0" applyNumberFormat="1" applyFont="1"/>
    <xf numFmtId="0" fontId="0" fillId="4" borderId="0" xfId="0" applyFill="1"/>
    <xf numFmtId="164" fontId="6" fillId="4" borderId="0" xfId="1" applyNumberFormat="1" applyFont="1" applyFill="1" applyAlignment="1">
      <alignment horizontal="center"/>
    </xf>
    <xf numFmtId="1" fontId="5" fillId="14" borderId="34" xfId="0" applyNumberFormat="1" applyFont="1" applyFill="1" applyBorder="1" applyAlignment="1">
      <alignment horizontal="center" vertical="center"/>
    </xf>
    <xf numFmtId="1" fontId="5" fillId="14" borderId="44" xfId="0" applyNumberFormat="1" applyFont="1" applyFill="1" applyBorder="1" applyAlignment="1">
      <alignment horizontal="center" vertical="center"/>
    </xf>
    <xf numFmtId="1" fontId="5" fillId="15" borderId="34" xfId="0" applyNumberFormat="1" applyFont="1" applyFill="1" applyBorder="1" applyAlignment="1">
      <alignment horizontal="center" vertical="center"/>
    </xf>
    <xf numFmtId="1" fontId="5" fillId="15" borderId="44" xfId="0" applyNumberFormat="1" applyFont="1" applyFill="1" applyBorder="1" applyAlignment="1">
      <alignment horizontal="center" vertical="center"/>
    </xf>
    <xf numFmtId="1" fontId="5" fillId="13" borderId="30" xfId="0" applyNumberFormat="1" applyFont="1" applyFill="1" applyBorder="1" applyAlignment="1">
      <alignment horizontal="center" vertical="center"/>
    </xf>
    <xf numFmtId="1" fontId="5" fillId="13" borderId="3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48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68" fontId="13" fillId="13" borderId="35" xfId="0" applyNumberFormat="1" applyFont="1" applyFill="1" applyBorder="1" applyAlignment="1">
      <alignment horizontal="center" vertical="center"/>
    </xf>
    <xf numFmtId="168" fontId="13" fillId="13" borderId="36" xfId="0" applyNumberFormat="1" applyFont="1" applyFill="1" applyBorder="1" applyAlignment="1">
      <alignment horizontal="center" vertical="center"/>
    </xf>
    <xf numFmtId="3" fontId="16" fillId="13" borderId="30" xfId="0" applyNumberFormat="1" applyFont="1" applyFill="1" applyBorder="1" applyAlignment="1">
      <alignment horizontal="center" vertical="center"/>
    </xf>
    <xf numFmtId="3" fontId="16" fillId="13" borderId="24" xfId="0" applyNumberFormat="1" applyFont="1" applyFill="1" applyBorder="1" applyAlignment="1">
      <alignment horizontal="center" vertical="center"/>
    </xf>
    <xf numFmtId="3" fontId="16" fillId="13" borderId="39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167" fontId="16" fillId="13" borderId="30" xfId="0" applyNumberFormat="1" applyFont="1" applyFill="1" applyBorder="1" applyAlignment="1">
      <alignment horizontal="center" vertical="center"/>
    </xf>
    <xf numFmtId="167" fontId="16" fillId="13" borderId="22" xfId="0" applyNumberFormat="1" applyFont="1" applyFill="1" applyBorder="1" applyAlignment="1">
      <alignment horizontal="center" vertical="center"/>
    </xf>
    <xf numFmtId="167" fontId="16" fillId="10" borderId="1" xfId="0" applyNumberFormat="1" applyFont="1" applyFill="1" applyBorder="1" applyAlignment="1">
      <alignment horizontal="center" vertical="center"/>
    </xf>
    <xf numFmtId="167" fontId="17" fillId="10" borderId="31" xfId="0" applyNumberFormat="1" applyFont="1" applyFill="1" applyBorder="1" applyAlignment="1">
      <alignment horizontal="center" vertical="center"/>
    </xf>
    <xf numFmtId="167" fontId="16" fillId="10" borderId="40" xfId="0" applyNumberFormat="1" applyFont="1" applyFill="1" applyBorder="1" applyAlignment="1">
      <alignment horizontal="center" vertical="center"/>
    </xf>
    <xf numFmtId="164" fontId="19" fillId="13" borderId="22" xfId="1" applyNumberFormat="1" applyFont="1" applyFill="1" applyBorder="1" applyAlignment="1">
      <alignment horizontal="center" vertical="center"/>
    </xf>
    <xf numFmtId="164" fontId="13" fillId="10" borderId="1" xfId="1" applyNumberFormat="1" applyFont="1" applyFill="1" applyBorder="1" applyAlignment="1">
      <alignment horizontal="center" vertical="center"/>
    </xf>
    <xf numFmtId="164" fontId="13" fillId="13" borderId="17" xfId="1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center"/>
    </xf>
    <xf numFmtId="164" fontId="20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" fontId="20" fillId="16" borderId="0" xfId="0" applyNumberFormat="1" applyFont="1" applyFill="1" applyBorder="1" applyAlignment="1">
      <alignment horizontal="center"/>
    </xf>
    <xf numFmtId="1" fontId="20" fillId="7" borderId="4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64" fontId="20" fillId="7" borderId="5" xfId="1" applyNumberFormat="1" applyFont="1" applyFill="1" applyBorder="1" applyAlignment="1">
      <alignment horizontal="center"/>
    </xf>
    <xf numFmtId="164" fontId="11" fillId="13" borderId="30" xfId="1" applyNumberFormat="1" applyFont="1" applyFill="1" applyBorder="1" applyAlignment="1">
      <alignment horizontal="center" vertical="center"/>
    </xf>
    <xf numFmtId="164" fontId="11" fillId="14" borderId="30" xfId="1" applyNumberFormat="1" applyFont="1" applyFill="1" applyBorder="1" applyAlignment="1">
      <alignment horizontal="center" vertical="center"/>
    </xf>
    <xf numFmtId="164" fontId="11" fillId="15" borderId="30" xfId="1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/>
    <xf numFmtId="3" fontId="16" fillId="10" borderId="8" xfId="0" applyNumberFormat="1" applyFont="1" applyFill="1" applyBorder="1" applyAlignment="1">
      <alignment horizontal="center" vertical="center"/>
    </xf>
    <xf numFmtId="3" fontId="16" fillId="10" borderId="0" xfId="0" applyNumberFormat="1" applyFont="1" applyFill="1" applyBorder="1" applyAlignment="1">
      <alignment horizontal="center" vertical="center"/>
    </xf>
    <xf numFmtId="3" fontId="16" fillId="10" borderId="9" xfId="0" applyNumberFormat="1" applyFont="1" applyFill="1" applyBorder="1" applyAlignment="1">
      <alignment horizontal="center" vertical="center"/>
    </xf>
    <xf numFmtId="9" fontId="16" fillId="10" borderId="9" xfId="1" applyFont="1" applyFill="1" applyBorder="1" applyAlignment="1">
      <alignment horizontal="center" vertical="center"/>
    </xf>
    <xf numFmtId="9" fontId="29" fillId="10" borderId="12" xfId="1" applyFont="1" applyFill="1" applyBorder="1" applyAlignment="1">
      <alignment horizontal="center"/>
    </xf>
    <xf numFmtId="3" fontId="30" fillId="10" borderId="46" xfId="0" applyNumberFormat="1" applyFont="1" applyFill="1" applyBorder="1" applyAlignment="1">
      <alignment horizontal="center" vertical="center"/>
    </xf>
    <xf numFmtId="3" fontId="0" fillId="10" borderId="0" xfId="0" applyNumberFormat="1" applyFont="1" applyFill="1" applyBorder="1" applyAlignment="1">
      <alignment horizontal="center"/>
    </xf>
    <xf numFmtId="9" fontId="0" fillId="10" borderId="0" xfId="1" applyFont="1" applyFill="1" applyBorder="1"/>
    <xf numFmtId="164" fontId="0" fillId="10" borderId="0" xfId="1" applyNumberFormat="1" applyFont="1" applyFill="1" applyBorder="1" applyAlignment="1">
      <alignment horizontal="center"/>
    </xf>
    <xf numFmtId="164" fontId="11" fillId="7" borderId="0" xfId="1" applyNumberFormat="1" applyFont="1" applyFill="1" applyBorder="1" applyAlignment="1">
      <alignment horizontal="center" vertical="center"/>
    </xf>
    <xf numFmtId="164" fontId="31" fillId="10" borderId="31" xfId="1" applyNumberFormat="1" applyFont="1" applyFill="1" applyBorder="1" applyAlignment="1">
      <alignment horizontal="center" vertical="center"/>
    </xf>
    <xf numFmtId="164" fontId="15" fillId="15" borderId="1" xfId="1" applyNumberFormat="1" applyFont="1" applyFill="1" applyBorder="1" applyAlignment="1">
      <alignment horizontal="center" vertical="center"/>
    </xf>
    <xf numFmtId="165" fontId="15" fillId="15" borderId="1" xfId="0" applyNumberFormat="1" applyFont="1" applyFill="1" applyBorder="1" applyAlignment="1">
      <alignment horizontal="center" vertical="center"/>
    </xf>
    <xf numFmtId="3" fontId="15" fillId="13" borderId="24" xfId="0" applyNumberFormat="1" applyFont="1" applyFill="1" applyBorder="1" applyAlignment="1">
      <alignment horizontal="center" vertical="center"/>
    </xf>
    <xf numFmtId="1" fontId="28" fillId="3" borderId="10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164" fontId="9" fillId="7" borderId="9" xfId="1" applyNumberFormat="1" applyFont="1" applyFill="1" applyBorder="1" applyAlignment="1">
      <alignment horizontal="center" vertical="center"/>
    </xf>
    <xf numFmtId="1" fontId="20" fillId="7" borderId="4" xfId="0" applyNumberFormat="1" applyFont="1" applyFill="1" applyBorder="1" applyAlignment="1">
      <alignment horizontal="center"/>
    </xf>
    <xf numFmtId="1" fontId="20" fillId="7" borderId="1" xfId="0" applyNumberFormat="1" applyFont="1" applyFill="1" applyBorder="1" applyAlignment="1">
      <alignment horizontal="center"/>
    </xf>
    <xf numFmtId="167" fontId="10" fillId="13" borderId="37" xfId="0" applyNumberFormat="1" applyFont="1" applyFill="1" applyBorder="1" applyAlignment="1">
      <alignment horizontal="center" vertical="center"/>
    </xf>
    <xf numFmtId="3" fontId="10" fillId="13" borderId="37" xfId="0" applyNumberFormat="1" applyFont="1" applyFill="1" applyBorder="1" applyAlignment="1">
      <alignment horizontal="center" vertical="center"/>
    </xf>
    <xf numFmtId="3" fontId="10" fillId="13" borderId="38" xfId="0" applyNumberFormat="1" applyFont="1" applyFill="1" applyBorder="1" applyAlignment="1">
      <alignment horizontal="center" vertical="center"/>
    </xf>
    <xf numFmtId="3" fontId="10" fillId="13" borderId="36" xfId="0" applyNumberFormat="1" applyFont="1" applyFill="1" applyBorder="1" applyAlignment="1">
      <alignment horizontal="center" vertical="center"/>
    </xf>
    <xf numFmtId="3" fontId="10" fillId="13" borderId="30" xfId="0" applyNumberFormat="1" applyFont="1" applyFill="1" applyBorder="1" applyAlignment="1">
      <alignment horizontal="center" vertical="center"/>
    </xf>
    <xf numFmtId="9" fontId="30" fillId="10" borderId="46" xfId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33" fillId="17" borderId="42" xfId="0" applyFont="1" applyFill="1" applyBorder="1" applyAlignment="1">
      <alignment horizontal="center" vertical="center" wrapText="1"/>
    </xf>
    <xf numFmtId="0" fontId="10" fillId="17" borderId="28" xfId="0" applyFont="1" applyFill="1" applyBorder="1" applyAlignment="1">
      <alignment horizontal="center" vertical="center" wrapText="1" readingOrder="2"/>
    </xf>
    <xf numFmtId="0" fontId="10" fillId="17" borderId="29" xfId="0" applyFont="1" applyFill="1" applyBorder="1" applyAlignment="1">
      <alignment horizontal="center" vertical="center" wrapText="1" readingOrder="2"/>
    </xf>
    <xf numFmtId="0" fontId="10" fillId="17" borderId="26" xfId="0" applyFont="1" applyFill="1" applyBorder="1" applyAlignment="1">
      <alignment horizontal="center" vertical="center"/>
    </xf>
    <xf numFmtId="0" fontId="10" fillId="17" borderId="27" xfId="0" applyFont="1" applyFill="1" applyBorder="1" applyAlignment="1">
      <alignment horizontal="center" vertical="center"/>
    </xf>
    <xf numFmtId="0" fontId="10" fillId="17" borderId="27" xfId="0" applyFont="1" applyFill="1" applyBorder="1" applyAlignment="1">
      <alignment horizontal="center" vertical="center" wrapText="1" readingOrder="2"/>
    </xf>
    <xf numFmtId="0" fontId="10" fillId="17" borderId="29" xfId="0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right" vertical="center" indent="1"/>
    </xf>
    <xf numFmtId="3" fontId="34" fillId="0" borderId="7" xfId="0" applyNumberFormat="1" applyFont="1" applyFill="1" applyBorder="1" applyAlignment="1">
      <alignment horizontal="right" vertical="center" indent="1"/>
    </xf>
    <xf numFmtId="3" fontId="34" fillId="0" borderId="3" xfId="0" applyNumberFormat="1" applyFont="1" applyFill="1" applyBorder="1" applyAlignment="1">
      <alignment horizontal="right" vertical="center" indent="1"/>
    </xf>
    <xf numFmtId="167" fontId="34" fillId="0" borderId="31" xfId="0" applyNumberFormat="1" applyFont="1" applyFill="1" applyBorder="1" applyAlignment="1">
      <alignment horizontal="right" vertical="center" indent="1"/>
    </xf>
    <xf numFmtId="167" fontId="34" fillId="0" borderId="1" xfId="0" applyNumberFormat="1" applyFont="1" applyFill="1" applyBorder="1" applyAlignment="1">
      <alignment horizontal="right" vertical="center" indent="1"/>
    </xf>
    <xf numFmtId="167" fontId="34" fillId="0" borderId="5" xfId="0" applyNumberFormat="1" applyFont="1" applyFill="1" applyBorder="1" applyAlignment="1">
      <alignment horizontal="right" vertical="center" indent="1"/>
    </xf>
    <xf numFmtId="167" fontId="34" fillId="0" borderId="3" xfId="0" applyNumberFormat="1" applyFont="1" applyFill="1" applyBorder="1" applyAlignment="1">
      <alignment horizontal="right" vertical="center" indent="1"/>
    </xf>
    <xf numFmtId="3" fontId="34" fillId="0" borderId="26" xfId="0" applyNumberFormat="1" applyFont="1" applyFill="1" applyBorder="1" applyAlignment="1">
      <alignment horizontal="right" vertical="center" indent="1"/>
    </xf>
    <xf numFmtId="3" fontId="34" fillId="0" borderId="12" xfId="0" applyNumberFormat="1" applyFont="1" applyFill="1" applyBorder="1" applyAlignment="1">
      <alignment horizontal="right" vertical="center" indent="1"/>
    </xf>
    <xf numFmtId="3" fontId="34" fillId="0" borderId="56" xfId="0" applyNumberFormat="1" applyFont="1" applyFill="1" applyBorder="1" applyAlignment="1">
      <alignment horizontal="right" vertical="center" indent="1"/>
    </xf>
    <xf numFmtId="167" fontId="34" fillId="0" borderId="32" xfId="0" applyNumberFormat="1" applyFont="1" applyFill="1" applyBorder="1" applyAlignment="1">
      <alignment horizontal="right" vertical="center" indent="1"/>
    </xf>
    <xf numFmtId="167" fontId="34" fillId="0" borderId="20" xfId="0" applyNumberFormat="1" applyFont="1" applyFill="1" applyBorder="1" applyAlignment="1">
      <alignment horizontal="right" vertical="center" indent="1"/>
    </xf>
    <xf numFmtId="167" fontId="34" fillId="0" borderId="57" xfId="0" applyNumberFormat="1" applyFont="1" applyFill="1" applyBorder="1" applyAlignment="1">
      <alignment horizontal="right" vertical="center" indent="1"/>
    </xf>
    <xf numFmtId="167" fontId="34" fillId="0" borderId="29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indent="1"/>
    </xf>
    <xf numFmtId="1" fontId="0" fillId="0" borderId="60" xfId="0" applyNumberFormat="1" applyFont="1" applyFill="1" applyBorder="1" applyAlignment="1">
      <alignment horizontal="right" indent="1"/>
    </xf>
    <xf numFmtId="167" fontId="34" fillId="0" borderId="55" xfId="0" applyNumberFormat="1" applyFont="1" applyFill="1" applyBorder="1" applyAlignment="1">
      <alignment horizontal="right" vertical="center" indent="1"/>
    </xf>
    <xf numFmtId="167" fontId="34" fillId="0" borderId="14" xfId="0" applyNumberFormat="1" applyFont="1" applyFill="1" applyBorder="1" applyAlignment="1">
      <alignment horizontal="right" vertical="center" indent="1"/>
    </xf>
    <xf numFmtId="3" fontId="10" fillId="18" borderId="17" xfId="0" applyNumberFormat="1" applyFont="1" applyFill="1" applyBorder="1" applyAlignment="1">
      <alignment horizontal="right" vertical="center" indent="1"/>
    </xf>
    <xf numFmtId="3" fontId="10" fillId="18" borderId="37" xfId="0" applyNumberFormat="1" applyFont="1" applyFill="1" applyBorder="1" applyAlignment="1">
      <alignment horizontal="right" vertical="center" indent="1"/>
    </xf>
    <xf numFmtId="3" fontId="10" fillId="18" borderId="36" xfId="0" applyNumberFormat="1" applyFont="1" applyFill="1" applyBorder="1" applyAlignment="1">
      <alignment horizontal="right" vertical="center" indent="1"/>
    </xf>
    <xf numFmtId="167" fontId="10" fillId="18" borderId="22" xfId="0" applyNumberFormat="1" applyFont="1" applyFill="1" applyBorder="1" applyAlignment="1">
      <alignment horizontal="right" vertical="center" indent="1"/>
    </xf>
    <xf numFmtId="167" fontId="10" fillId="18" borderId="30" xfId="0" applyNumberFormat="1" applyFont="1" applyFill="1" applyBorder="1" applyAlignment="1">
      <alignment horizontal="right" vertical="center" indent="1"/>
    </xf>
    <xf numFmtId="167" fontId="10" fillId="18" borderId="35" xfId="0" applyNumberFormat="1" applyFont="1" applyFill="1" applyBorder="1" applyAlignment="1">
      <alignment horizontal="right" vertical="center" indent="1"/>
    </xf>
    <xf numFmtId="168" fontId="34" fillId="13" borderId="17" xfId="0" applyNumberFormat="1" applyFont="1" applyFill="1" applyBorder="1" applyAlignment="1">
      <alignment horizontal="right" vertical="center" indent="1"/>
    </xf>
    <xf numFmtId="168" fontId="34" fillId="13" borderId="37" xfId="0" applyNumberFormat="1" applyFont="1" applyFill="1" applyBorder="1" applyAlignment="1">
      <alignment horizontal="right" vertical="center" indent="1"/>
    </xf>
    <xf numFmtId="168" fontId="34" fillId="13" borderId="36" xfId="0" applyNumberFormat="1" applyFont="1" applyFill="1" applyBorder="1" applyAlignment="1">
      <alignment horizontal="right" vertical="center" indent="1"/>
    </xf>
    <xf numFmtId="167" fontId="34" fillId="13" borderId="22" xfId="0" applyNumberFormat="1" applyFont="1" applyFill="1" applyBorder="1" applyAlignment="1">
      <alignment horizontal="right" vertical="center" indent="1"/>
    </xf>
    <xf numFmtId="167" fontId="34" fillId="13" borderId="30" xfId="0" applyNumberFormat="1" applyFont="1" applyFill="1" applyBorder="1" applyAlignment="1">
      <alignment horizontal="right" vertical="center" indent="1"/>
    </xf>
    <xf numFmtId="168" fontId="34" fillId="13" borderId="35" xfId="0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indent="1"/>
    </xf>
    <xf numFmtId="3" fontId="16" fillId="0" borderId="7" xfId="0" applyNumberFormat="1" applyFont="1" applyFill="1" applyBorder="1" applyAlignment="1">
      <alignment horizontal="right" vertical="center" indent="1"/>
    </xf>
    <xf numFmtId="1" fontId="16" fillId="10" borderId="3" xfId="0" applyNumberFormat="1" applyFont="1" applyFill="1" applyBorder="1" applyAlignment="1">
      <alignment horizontal="right" vertical="center" indent="1"/>
    </xf>
    <xf numFmtId="167" fontId="16" fillId="0" borderId="31" xfId="0" applyNumberFormat="1" applyFont="1" applyFill="1" applyBorder="1" applyAlignment="1">
      <alignment horizontal="right" vertical="center" indent="1"/>
    </xf>
    <xf numFmtId="167" fontId="16" fillId="0" borderId="1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indent="1"/>
    </xf>
    <xf numFmtId="3" fontId="16" fillId="0" borderId="3" xfId="0" applyNumberFormat="1" applyFont="1" applyFill="1" applyBorder="1" applyAlignment="1">
      <alignment horizontal="right" vertical="center" indent="1"/>
    </xf>
    <xf numFmtId="3" fontId="0" fillId="0" borderId="26" xfId="0" applyNumberFormat="1" applyFont="1" applyFill="1" applyBorder="1" applyAlignment="1">
      <alignment horizontal="right" indent="1"/>
    </xf>
    <xf numFmtId="3" fontId="16" fillId="0" borderId="12" xfId="0" applyNumberFormat="1" applyFont="1" applyFill="1" applyBorder="1" applyAlignment="1">
      <alignment horizontal="right" vertical="center" indent="1"/>
    </xf>
    <xf numFmtId="1" fontId="16" fillId="10" borderId="56" xfId="0" applyNumberFormat="1" applyFont="1" applyFill="1" applyBorder="1" applyAlignment="1">
      <alignment horizontal="right" vertical="center" indent="1"/>
    </xf>
    <xf numFmtId="167" fontId="16" fillId="0" borderId="11" xfId="0" applyNumberFormat="1" applyFont="1" applyFill="1" applyBorder="1" applyAlignment="1">
      <alignment horizontal="right" vertical="center" indent="1"/>
    </xf>
    <xf numFmtId="167" fontId="16" fillId="0" borderId="40" xfId="0" applyNumberFormat="1" applyFont="1" applyFill="1" applyBorder="1" applyAlignment="1">
      <alignment horizontal="right" vertical="center" indent="1"/>
    </xf>
    <xf numFmtId="3" fontId="16" fillId="0" borderId="40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0" fontId="16" fillId="10" borderId="9" xfId="0" applyFont="1" applyFill="1" applyBorder="1" applyAlignment="1">
      <alignment horizontal="right" vertical="center" indent="1"/>
    </xf>
    <xf numFmtId="165" fontId="16" fillId="0" borderId="3" xfId="0" applyNumberFormat="1" applyFont="1" applyFill="1" applyBorder="1" applyAlignment="1">
      <alignment horizontal="right" vertical="center" indent="1"/>
    </xf>
    <xf numFmtId="3" fontId="16" fillId="0" borderId="63" xfId="0" applyNumberFormat="1" applyFont="1" applyFill="1" applyBorder="1" applyAlignment="1">
      <alignment horizontal="right" vertical="center" indent="1"/>
    </xf>
    <xf numFmtId="165" fontId="16" fillId="0" borderId="29" xfId="0" applyNumberFormat="1" applyFont="1" applyFill="1" applyBorder="1" applyAlignment="1">
      <alignment horizontal="right" vertical="center" indent="1"/>
    </xf>
    <xf numFmtId="3" fontId="16" fillId="0" borderId="27" xfId="0" applyNumberFormat="1" applyFont="1" applyFill="1" applyBorder="1" applyAlignment="1">
      <alignment horizontal="right" vertical="center" indent="1"/>
    </xf>
    <xf numFmtId="3" fontId="16" fillId="0" borderId="29" xfId="0" applyNumberFormat="1" applyFont="1" applyFill="1" applyBorder="1" applyAlignment="1">
      <alignment horizontal="right" vertical="center" indent="1"/>
    </xf>
    <xf numFmtId="4" fontId="16" fillId="0" borderId="7" xfId="0" applyNumberFormat="1" applyFont="1" applyFill="1" applyBorder="1" applyAlignment="1">
      <alignment horizontal="right" vertical="center" indent="1"/>
    </xf>
    <xf numFmtId="4" fontId="16" fillId="0" borderId="3" xfId="0" applyNumberFormat="1" applyFont="1" applyFill="1" applyBorder="1" applyAlignment="1">
      <alignment horizontal="right" vertical="center" indent="1"/>
    </xf>
    <xf numFmtId="167" fontId="16" fillId="0" borderId="7" xfId="0" applyNumberFormat="1" applyFont="1" applyFill="1" applyBorder="1" applyAlignment="1">
      <alignment horizontal="right" vertical="center" indent="1"/>
    </xf>
    <xf numFmtId="167" fontId="16" fillId="0" borderId="12" xfId="0" applyNumberFormat="1" applyFont="1" applyFill="1" applyBorder="1" applyAlignment="1">
      <alignment horizontal="right" vertical="center" indent="1"/>
    </xf>
    <xf numFmtId="165" fontId="16" fillId="0" borderId="56" xfId="0" applyNumberFormat="1" applyFont="1" applyFill="1" applyBorder="1" applyAlignment="1">
      <alignment horizontal="right" vertical="center" indent="1"/>
    </xf>
    <xf numFmtId="4" fontId="16" fillId="0" borderId="40" xfId="0" applyNumberFormat="1" applyFont="1" applyFill="1" applyBorder="1" applyAlignment="1">
      <alignment horizontal="right" vertical="center" indent="1"/>
    </xf>
    <xf numFmtId="4" fontId="16" fillId="0" borderId="12" xfId="0" applyNumberFormat="1" applyFont="1" applyFill="1" applyBorder="1" applyAlignment="1">
      <alignment horizontal="right" vertical="center" indent="1"/>
    </xf>
    <xf numFmtId="4" fontId="16" fillId="0" borderId="56" xfId="0" applyNumberFormat="1" applyFont="1" applyFill="1" applyBorder="1" applyAlignment="1">
      <alignment horizontal="right" vertical="center" indent="1"/>
    </xf>
    <xf numFmtId="3" fontId="0" fillId="0" borderId="54" xfId="0" applyNumberFormat="1" applyFont="1" applyFill="1" applyBorder="1" applyAlignment="1">
      <alignment horizontal="right" indent="1"/>
    </xf>
    <xf numFmtId="3" fontId="16" fillId="0" borderId="46" xfId="0" applyNumberFormat="1" applyFont="1" applyFill="1" applyBorder="1" applyAlignment="1">
      <alignment horizontal="right" vertical="center" indent="1"/>
    </xf>
    <xf numFmtId="3" fontId="16" fillId="0" borderId="44" xfId="0" applyNumberFormat="1" applyFont="1" applyFill="1" applyBorder="1" applyAlignment="1">
      <alignment horizontal="right" vertical="center" indent="1"/>
    </xf>
    <xf numFmtId="167" fontId="16" fillId="10" borderId="22" xfId="0" applyNumberFormat="1" applyFont="1" applyFill="1" applyBorder="1" applyAlignment="1">
      <alignment horizontal="right" vertical="center" indent="1"/>
    </xf>
    <xf numFmtId="167" fontId="16" fillId="10" borderId="30" xfId="0" applyNumberFormat="1" applyFont="1" applyFill="1" applyBorder="1" applyAlignment="1">
      <alignment horizontal="right" vertical="center" indent="1"/>
    </xf>
    <xf numFmtId="3" fontId="16" fillId="0" borderId="34" xfId="0" applyNumberFormat="1" applyFont="1" applyFill="1" applyBorder="1" applyAlignment="1">
      <alignment horizontal="right" vertical="center" indent="1"/>
    </xf>
    <xf numFmtId="167" fontId="16" fillId="10" borderId="20" xfId="0" applyNumberFormat="1" applyFont="1" applyFill="1" applyBorder="1" applyAlignment="1">
      <alignment horizontal="right" vertical="center" indent="1"/>
    </xf>
    <xf numFmtId="3" fontId="16" fillId="0" borderId="64" xfId="0" applyNumberFormat="1" applyFont="1" applyFill="1" applyBorder="1" applyAlignment="1">
      <alignment horizontal="right" vertical="center" indent="1"/>
    </xf>
    <xf numFmtId="3" fontId="15" fillId="18" borderId="61" xfId="0" applyNumberFormat="1" applyFont="1" applyFill="1" applyBorder="1" applyAlignment="1">
      <alignment horizontal="right" vertical="center" indent="1"/>
    </xf>
    <xf numFmtId="3" fontId="15" fillId="18" borderId="37" xfId="0" applyNumberFormat="1" applyFont="1" applyFill="1" applyBorder="1" applyAlignment="1">
      <alignment horizontal="right" vertical="center" indent="1"/>
    </xf>
    <xf numFmtId="3" fontId="15" fillId="18" borderId="36" xfId="0" applyNumberFormat="1" applyFont="1" applyFill="1" applyBorder="1" applyAlignment="1">
      <alignment horizontal="right" vertical="center" indent="1"/>
    </xf>
    <xf numFmtId="167" fontId="15" fillId="18" borderId="17" xfId="0" applyNumberFormat="1" applyFont="1" applyFill="1" applyBorder="1" applyAlignment="1">
      <alignment horizontal="right" vertical="center" indent="1"/>
    </xf>
    <xf numFmtId="167" fontId="15" fillId="18" borderId="37" xfId="0" applyNumberFormat="1" applyFont="1" applyFill="1" applyBorder="1" applyAlignment="1">
      <alignment horizontal="right" vertical="center" indent="1"/>
    </xf>
    <xf numFmtId="3" fontId="15" fillId="18" borderId="38" xfId="0" applyNumberFormat="1" applyFont="1" applyFill="1" applyBorder="1" applyAlignment="1">
      <alignment horizontal="right" vertical="center" indent="1"/>
    </xf>
    <xf numFmtId="164" fontId="18" fillId="13" borderId="22" xfId="1" applyNumberFormat="1" applyFont="1" applyFill="1" applyBorder="1" applyAlignment="1">
      <alignment horizontal="center" vertical="center"/>
    </xf>
    <xf numFmtId="164" fontId="11" fillId="14" borderId="22" xfId="1" applyNumberFormat="1" applyFont="1" applyFill="1" applyBorder="1" applyAlignment="1">
      <alignment horizontal="center" vertical="center"/>
    </xf>
    <xf numFmtId="164" fontId="11" fillId="15" borderId="22" xfId="1" applyNumberFormat="1" applyFont="1" applyFill="1" applyBorder="1" applyAlignment="1">
      <alignment horizontal="center" vertical="center"/>
    </xf>
    <xf numFmtId="167" fontId="10" fillId="13" borderId="30" xfId="0" applyNumberFormat="1" applyFont="1" applyFill="1" applyBorder="1" applyAlignment="1">
      <alignment horizontal="center" vertical="center"/>
    </xf>
    <xf numFmtId="167" fontId="17" fillId="10" borderId="11" xfId="0" applyNumberFormat="1" applyFont="1" applyFill="1" applyBorder="1" applyAlignment="1">
      <alignment horizontal="center" vertical="center"/>
    </xf>
    <xf numFmtId="167" fontId="16" fillId="0" borderId="31" xfId="0" applyNumberFormat="1" applyFont="1" applyFill="1" applyBorder="1" applyAlignment="1">
      <alignment horizontal="center" vertical="center"/>
    </xf>
    <xf numFmtId="164" fontId="13" fillId="10" borderId="31" xfId="1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16" fontId="2" fillId="8" borderId="0" xfId="0" quotePrefix="1" applyNumberFormat="1" applyFont="1" applyFill="1" applyAlignment="1">
      <alignment horizontal="center"/>
    </xf>
    <xf numFmtId="0" fontId="2" fillId="8" borderId="0" xfId="0" quotePrefix="1" applyFont="1" applyFill="1" applyAlignment="1">
      <alignment horizontal="center"/>
    </xf>
    <xf numFmtId="164" fontId="20" fillId="16" borderId="0" xfId="1" applyNumberFormat="1" applyFont="1" applyFill="1" applyBorder="1" applyAlignment="1">
      <alignment horizontal="center"/>
    </xf>
    <xf numFmtId="164" fontId="20" fillId="6" borderId="53" xfId="1" applyNumberFormat="1" applyFont="1" applyFill="1" applyBorder="1" applyAlignment="1">
      <alignment horizontal="center"/>
    </xf>
    <xf numFmtId="164" fontId="26" fillId="10" borderId="31" xfId="1" applyNumberFormat="1" applyFont="1" applyFill="1" applyBorder="1" applyAlignment="1">
      <alignment horizontal="center" vertical="center"/>
    </xf>
    <xf numFmtId="164" fontId="15" fillId="10" borderId="1" xfId="1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left"/>
    </xf>
    <xf numFmtId="0" fontId="0" fillId="0" borderId="0" xfId="0"/>
    <xf numFmtId="1" fontId="20" fillId="3" borderId="0" xfId="0" applyNumberFormat="1" applyFont="1" applyFill="1" applyAlignment="1">
      <alignment horizontal="center"/>
    </xf>
    <xf numFmtId="0" fontId="0" fillId="4" borderId="0" xfId="0" applyFill="1" applyBorder="1"/>
    <xf numFmtId="0" fontId="13" fillId="3" borderId="0" xfId="0" applyFont="1" applyFill="1" applyAlignment="1">
      <alignment horizontal="right"/>
    </xf>
    <xf numFmtId="0" fontId="10" fillId="12" borderId="66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0" fillId="0" borderId="0" xfId="0"/>
    <xf numFmtId="3" fontId="10" fillId="11" borderId="22" xfId="0" applyNumberFormat="1" applyFont="1" applyFill="1" applyBorder="1" applyAlignment="1">
      <alignment horizontal="right" vertical="center" indent="1"/>
    </xf>
    <xf numFmtId="3" fontId="10" fillId="11" borderId="34" xfId="0" applyNumberFormat="1" applyFont="1" applyFill="1" applyBorder="1" applyAlignment="1">
      <alignment horizontal="right" vertical="center" indent="1"/>
    </xf>
    <xf numFmtId="3" fontId="10" fillId="11" borderId="39" xfId="0" applyNumberFormat="1" applyFont="1" applyFill="1" applyBorder="1" applyAlignment="1">
      <alignment horizontal="right" vertical="center" indent="1"/>
    </xf>
    <xf numFmtId="167" fontId="10" fillId="11" borderId="55" xfId="0" applyNumberFormat="1" applyFont="1" applyFill="1" applyBorder="1" applyAlignment="1">
      <alignment horizontal="right" vertical="center" indent="1"/>
    </xf>
    <xf numFmtId="167" fontId="10" fillId="11" borderId="14" xfId="0" applyNumberFormat="1" applyFont="1" applyFill="1" applyBorder="1" applyAlignment="1">
      <alignment horizontal="right" vertical="center" indent="1"/>
    </xf>
    <xf numFmtId="167" fontId="10" fillId="11" borderId="0" xfId="0" applyNumberFormat="1" applyFont="1" applyFill="1" applyBorder="1" applyAlignment="1">
      <alignment horizontal="right" vertical="center" indent="1"/>
    </xf>
    <xf numFmtId="167" fontId="10" fillId="11" borderId="47" xfId="0" applyNumberFormat="1" applyFont="1" applyFill="1" applyBorder="1" applyAlignment="1">
      <alignment horizontal="right" vertical="center" indent="1"/>
    </xf>
    <xf numFmtId="1" fontId="8" fillId="11" borderId="58" xfId="0" applyNumberFormat="1" applyFont="1" applyFill="1" applyBorder="1" applyAlignment="1">
      <alignment horizontal="right" vertical="center" indent="1"/>
    </xf>
    <xf numFmtId="3" fontId="10" fillId="11" borderId="24" xfId="0" applyNumberFormat="1" applyFont="1" applyFill="1" applyBorder="1" applyAlignment="1">
      <alignment horizontal="right" vertical="center" indent="1"/>
    </xf>
    <xf numFmtId="167" fontId="10" fillId="11" borderId="33" xfId="0" applyNumberFormat="1" applyFont="1" applyFill="1" applyBorder="1" applyAlignment="1">
      <alignment horizontal="right" vertical="center" indent="1"/>
    </xf>
    <xf numFmtId="167" fontId="10" fillId="11" borderId="34" xfId="0" applyNumberFormat="1" applyFont="1" applyFill="1" applyBorder="1" applyAlignment="1">
      <alignment horizontal="right" vertical="center" indent="1"/>
    </xf>
    <xf numFmtId="167" fontId="10" fillId="11" borderId="59" xfId="0" applyNumberFormat="1" applyFont="1" applyFill="1" applyBorder="1" applyAlignment="1">
      <alignment horizontal="right" vertical="center" indent="1"/>
    </xf>
    <xf numFmtId="3" fontId="0" fillId="11" borderId="61" xfId="0" applyNumberFormat="1" applyFont="1" applyFill="1" applyBorder="1" applyAlignment="1">
      <alignment horizontal="right" indent="1"/>
    </xf>
    <xf numFmtId="3" fontId="16" fillId="11" borderId="38" xfId="0" applyNumberFormat="1" applyFont="1" applyFill="1" applyBorder="1" applyAlignment="1">
      <alignment horizontal="right" vertical="center" indent="1"/>
    </xf>
    <xf numFmtId="1" fontId="16" fillId="11" borderId="36" xfId="0" applyNumberFormat="1" applyFont="1" applyFill="1" applyBorder="1" applyAlignment="1">
      <alignment horizontal="right" vertical="center" indent="1"/>
    </xf>
    <xf numFmtId="169" fontId="36" fillId="11" borderId="0" xfId="0" applyNumberFormat="1" applyFont="1" applyFill="1" applyAlignment="1">
      <alignment horizontal="center" vertical="center"/>
    </xf>
    <xf numFmtId="167" fontId="16" fillId="11" borderId="37" xfId="0" applyNumberFormat="1" applyFont="1" applyFill="1" applyBorder="1" applyAlignment="1">
      <alignment horizontal="right" vertical="center" indent="1"/>
    </xf>
    <xf numFmtId="3" fontId="16" fillId="11" borderId="37" xfId="0" applyNumberFormat="1" applyFont="1" applyFill="1" applyBorder="1" applyAlignment="1">
      <alignment horizontal="right" vertical="center" indent="1"/>
    </xf>
    <xf numFmtId="3" fontId="16" fillId="11" borderId="36" xfId="0" applyNumberFormat="1" applyFont="1" applyFill="1" applyBorder="1" applyAlignment="1">
      <alignment horizontal="right" vertical="center" indent="1"/>
    </xf>
    <xf numFmtId="3" fontId="0" fillId="11" borderId="58" xfId="0" applyNumberFormat="1" applyFont="1" applyFill="1" applyBorder="1" applyAlignment="1">
      <alignment horizontal="right" indent="1"/>
    </xf>
    <xf numFmtId="3" fontId="16" fillId="11" borderId="0" xfId="0" applyNumberFormat="1" applyFont="1" applyFill="1" applyBorder="1" applyAlignment="1">
      <alignment horizontal="right" vertical="center" indent="1"/>
    </xf>
    <xf numFmtId="1" fontId="16" fillId="11" borderId="62" xfId="0" applyNumberFormat="1" applyFont="1" applyFill="1" applyBorder="1" applyAlignment="1">
      <alignment horizontal="right" vertical="center" indent="1"/>
    </xf>
    <xf numFmtId="167" fontId="16" fillId="11" borderId="22" xfId="0" applyNumberFormat="1" applyFont="1" applyFill="1" applyBorder="1" applyAlignment="1">
      <alignment horizontal="right" vertical="center" indent="1"/>
    </xf>
    <xf numFmtId="167" fontId="16" fillId="11" borderId="30" xfId="0" applyNumberFormat="1" applyFont="1" applyFill="1" applyBorder="1" applyAlignment="1">
      <alignment horizontal="right" vertical="center" indent="1"/>
    </xf>
    <xf numFmtId="3" fontId="16" fillId="11" borderId="30" xfId="0" applyNumberFormat="1" applyFont="1" applyFill="1" applyBorder="1" applyAlignment="1">
      <alignment horizontal="right" vertical="center" indent="1"/>
    </xf>
    <xf numFmtId="3" fontId="16" fillId="11" borderId="24" xfId="0" applyNumberFormat="1" applyFont="1" applyFill="1" applyBorder="1" applyAlignment="1">
      <alignment horizontal="right" vertical="center" indent="1"/>
    </xf>
    <xf numFmtId="3" fontId="16" fillId="11" borderId="39" xfId="0" applyNumberFormat="1" applyFont="1" applyFill="1" applyBorder="1" applyAlignment="1">
      <alignment horizontal="right" vertical="center" indent="1"/>
    </xf>
    <xf numFmtId="165" fontId="16" fillId="11" borderId="36" xfId="0" applyNumberFormat="1" applyFont="1" applyFill="1" applyBorder="1" applyAlignment="1">
      <alignment horizontal="right" vertical="center" indent="1"/>
    </xf>
    <xf numFmtId="0" fontId="16" fillId="11" borderId="62" xfId="0" applyFont="1" applyFill="1" applyBorder="1" applyAlignment="1">
      <alignment horizontal="right" vertical="center" indent="1"/>
    </xf>
    <xf numFmtId="167" fontId="10" fillId="11" borderId="17" xfId="0" applyNumberFormat="1" applyFont="1" applyFill="1" applyBorder="1" applyAlignment="1">
      <alignment horizontal="right" vertical="center" indent="1"/>
    </xf>
    <xf numFmtId="167" fontId="10" fillId="11" borderId="22" xfId="0" applyNumberFormat="1" applyFont="1" applyFill="1" applyBorder="1" applyAlignment="1">
      <alignment horizontal="right" vertical="center" indent="1"/>
    </xf>
    <xf numFmtId="169" fontId="36" fillId="0" borderId="26" xfId="0" applyNumberFormat="1" applyFont="1" applyBorder="1" applyAlignment="1">
      <alignment horizontal="center" vertical="center"/>
    </xf>
    <xf numFmtId="165" fontId="20" fillId="3" borderId="0" xfId="0" applyNumberFormat="1" applyFont="1" applyFill="1" applyAlignment="1">
      <alignment horizontal="center"/>
    </xf>
    <xf numFmtId="0" fontId="20" fillId="7" borderId="8" xfId="0" applyFont="1" applyFill="1" applyBorder="1" applyAlignment="1">
      <alignment horizontal="left"/>
    </xf>
    <xf numFmtId="0" fontId="25" fillId="7" borderId="8" xfId="0" applyFont="1" applyFill="1" applyBorder="1" applyAlignment="1">
      <alignment horizontal="left"/>
    </xf>
    <xf numFmtId="164" fontId="13" fillId="3" borderId="0" xfId="1" applyNumberFormat="1" applyFont="1" applyFill="1" applyBorder="1" applyAlignment="1">
      <alignment horizontal="center"/>
    </xf>
    <xf numFmtId="0" fontId="14" fillId="5" borderId="50" xfId="0" applyFont="1" applyFill="1" applyBorder="1" applyAlignment="1">
      <alignment horizontal="left"/>
    </xf>
    <xf numFmtId="1" fontId="20" fillId="5" borderId="0" xfId="0" applyNumberFormat="1" applyFont="1" applyFill="1" applyBorder="1" applyAlignment="1">
      <alignment horizontal="center"/>
    </xf>
    <xf numFmtId="164" fontId="20" fillId="5" borderId="0" xfId="1" applyNumberFormat="1" applyFont="1" applyFill="1" applyBorder="1" applyAlignment="1">
      <alignment horizontal="center"/>
    </xf>
    <xf numFmtId="164" fontId="25" fillId="9" borderId="0" xfId="1" applyNumberFormat="1" applyFont="1" applyFill="1" applyAlignment="1">
      <alignment horizontal="center"/>
    </xf>
    <xf numFmtId="1" fontId="20" fillId="9" borderId="0" xfId="0" applyNumberFormat="1" applyFont="1" applyFill="1" applyAlignment="1">
      <alignment horizontal="center"/>
    </xf>
    <xf numFmtId="164" fontId="20" fillId="9" borderId="0" xfId="1" applyNumberFormat="1" applyFont="1" applyFill="1" applyAlignment="1">
      <alignment horizontal="center"/>
    </xf>
    <xf numFmtId="164" fontId="20" fillId="7" borderId="1" xfId="1" applyNumberFormat="1" applyFont="1" applyFill="1" applyBorder="1" applyAlignment="1">
      <alignment horizontal="center"/>
    </xf>
    <xf numFmtId="164" fontId="25" fillId="7" borderId="0" xfId="1" applyNumberFormat="1" applyFont="1" applyFill="1" applyAlignment="1">
      <alignment horizontal="center"/>
    </xf>
    <xf numFmtId="0" fontId="14" fillId="7" borderId="0" xfId="0" applyFont="1" applyFill="1" applyAlignment="1">
      <alignment horizontal="left"/>
    </xf>
    <xf numFmtId="1" fontId="20" fillId="7" borderId="0" xfId="0" applyNumberFormat="1" applyFont="1" applyFill="1" applyAlignment="1">
      <alignment horizontal="center"/>
    </xf>
    <xf numFmtId="164" fontId="20" fillId="7" borderId="0" xfId="1" applyNumberFormat="1" applyFont="1" applyFill="1" applyAlignment="1">
      <alignment horizontal="center"/>
    </xf>
    <xf numFmtId="164" fontId="13" fillId="7" borderId="5" xfId="1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horizontal="right"/>
    </xf>
    <xf numFmtId="0" fontId="5" fillId="9" borderId="7" xfId="0" applyFont="1" applyFill="1" applyBorder="1"/>
    <xf numFmtId="164" fontId="13" fillId="9" borderId="5" xfId="1" applyNumberFormat="1" applyFont="1" applyFill="1" applyBorder="1" applyAlignment="1">
      <alignment horizontal="center" vertical="center"/>
    </xf>
    <xf numFmtId="0" fontId="13" fillId="9" borderId="7" xfId="0" applyFont="1" applyFill="1" applyBorder="1"/>
    <xf numFmtId="0" fontId="16" fillId="9" borderId="7" xfId="0" applyFont="1" applyFill="1" applyBorder="1" applyAlignment="1">
      <alignment horizontal="right"/>
    </xf>
    <xf numFmtId="0" fontId="5" fillId="9" borderId="7" xfId="0" applyFont="1" applyFill="1" applyBorder="1" applyAlignment="1">
      <alignment horizontal="right"/>
    </xf>
    <xf numFmtId="0" fontId="13" fillId="9" borderId="4" xfId="0" applyFont="1" applyFill="1" applyBorder="1"/>
    <xf numFmtId="3" fontId="13" fillId="9" borderId="1" xfId="0" applyNumberFormat="1" applyFont="1" applyFill="1" applyBorder="1" applyAlignment="1">
      <alignment horizontal="center" vertical="center"/>
    </xf>
    <xf numFmtId="3" fontId="13" fillId="9" borderId="7" xfId="0" applyNumberFormat="1" applyFont="1" applyFill="1" applyBorder="1" applyAlignment="1">
      <alignment horizontal="center" vertical="center"/>
    </xf>
    <xf numFmtId="164" fontId="13" fillId="9" borderId="1" xfId="1" applyNumberFormat="1" applyFont="1" applyFill="1" applyBorder="1" applyAlignment="1">
      <alignment horizontal="center"/>
    </xf>
    <xf numFmtId="164" fontId="26" fillId="9" borderId="1" xfId="1" applyNumberFormat="1" applyFont="1" applyFill="1" applyBorder="1" applyAlignment="1">
      <alignment horizontal="center"/>
    </xf>
    <xf numFmtId="0" fontId="5" fillId="9" borderId="4" xfId="0" applyFont="1" applyFill="1" applyBorder="1"/>
    <xf numFmtId="3" fontId="13" fillId="9" borderId="5" xfId="0" applyNumberFormat="1" applyFont="1" applyFill="1" applyBorder="1" applyAlignment="1">
      <alignment horizontal="center" vertical="center"/>
    </xf>
    <xf numFmtId="164" fontId="5" fillId="9" borderId="1" xfId="1" applyNumberFormat="1" applyFont="1" applyFill="1" applyBorder="1" applyAlignment="1">
      <alignment horizontal="center"/>
    </xf>
    <xf numFmtId="1" fontId="13" fillId="9" borderId="10" xfId="0" applyNumberFormat="1" applyFont="1" applyFill="1" applyBorder="1" applyAlignment="1">
      <alignment horizontal="center"/>
    </xf>
    <xf numFmtId="165" fontId="9" fillId="16" borderId="0" xfId="0" applyNumberFormat="1" applyFont="1" applyFill="1" applyAlignment="1">
      <alignment horizontal="center"/>
    </xf>
    <xf numFmtId="164" fontId="9" fillId="16" borderId="0" xfId="1" applyNumberFormat="1" applyFont="1" applyFill="1" applyAlignment="1">
      <alignment horizontal="center"/>
    </xf>
    <xf numFmtId="0" fontId="5" fillId="7" borderId="7" xfId="0" applyFont="1" applyFill="1" applyBorder="1" applyAlignment="1">
      <alignment horizontal="right"/>
    </xf>
    <xf numFmtId="0" fontId="5" fillId="7" borderId="4" xfId="0" applyFont="1" applyFill="1" applyBorder="1"/>
    <xf numFmtId="3" fontId="13" fillId="7" borderId="7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right"/>
    </xf>
    <xf numFmtId="0" fontId="13" fillId="7" borderId="4" xfId="0" applyFont="1" applyFill="1" applyBorder="1"/>
    <xf numFmtId="3" fontId="13" fillId="7" borderId="0" xfId="0" applyNumberFormat="1" applyFont="1" applyFill="1" applyBorder="1" applyAlignment="1">
      <alignment horizontal="center" vertical="center"/>
    </xf>
    <xf numFmtId="3" fontId="13" fillId="7" borderId="14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right"/>
    </xf>
    <xf numFmtId="1" fontId="9" fillId="16" borderId="0" xfId="0" applyNumberFormat="1" applyFont="1" applyFill="1" applyAlignment="1">
      <alignment horizontal="center" vertical="center"/>
    </xf>
    <xf numFmtId="164" fontId="11" fillId="16" borderId="0" xfId="1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/>
    </xf>
    <xf numFmtId="164" fontId="31" fillId="15" borderId="31" xfId="1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0" fillId="13" borderId="17" xfId="0" applyNumberFormat="1" applyFont="1" applyFill="1" applyBorder="1" applyAlignment="1">
      <alignment horizontal="center" vertical="center"/>
    </xf>
    <xf numFmtId="167" fontId="16" fillId="10" borderId="31" xfId="0" applyNumberFormat="1" applyFont="1" applyFill="1" applyBorder="1" applyAlignment="1">
      <alignment horizontal="center" vertical="center"/>
    </xf>
    <xf numFmtId="167" fontId="16" fillId="10" borderId="11" xfId="0" applyNumberFormat="1" applyFont="1" applyFill="1" applyBorder="1" applyAlignment="1">
      <alignment horizontal="center" vertical="center"/>
    </xf>
    <xf numFmtId="167" fontId="16" fillId="10" borderId="10" xfId="0" applyNumberFormat="1" applyFont="1" applyFill="1" applyBorder="1" applyAlignment="1">
      <alignment horizontal="center" vertical="center"/>
    </xf>
    <xf numFmtId="167" fontId="16" fillId="10" borderId="74" xfId="0" applyNumberFormat="1" applyFont="1" applyFill="1" applyBorder="1" applyAlignment="1">
      <alignment horizontal="center" vertical="center"/>
    </xf>
    <xf numFmtId="167" fontId="10" fillId="13" borderId="34" xfId="0" applyNumberFormat="1" applyFont="1" applyFill="1" applyBorder="1" applyAlignment="1">
      <alignment horizontal="center" vertical="center"/>
    </xf>
    <xf numFmtId="167" fontId="10" fillId="13" borderId="54" xfId="0" applyNumberFormat="1" applyFont="1" applyFill="1" applyBorder="1" applyAlignment="1">
      <alignment horizontal="center" vertical="center"/>
    </xf>
    <xf numFmtId="167" fontId="10" fillId="13" borderId="32" xfId="0" applyNumberFormat="1" applyFont="1" applyFill="1" applyBorder="1" applyAlignment="1">
      <alignment horizontal="center" vertical="center"/>
    </xf>
    <xf numFmtId="167" fontId="16" fillId="13" borderId="17" xfId="0" applyNumberFormat="1" applyFont="1" applyFill="1" applyBorder="1" applyAlignment="1">
      <alignment horizontal="center" vertical="center"/>
    </xf>
    <xf numFmtId="167" fontId="10" fillId="13" borderId="17" xfId="0" applyNumberFormat="1" applyFont="1" applyFill="1" applyBorder="1" applyAlignment="1">
      <alignment horizontal="center" vertical="center"/>
    </xf>
    <xf numFmtId="166" fontId="14" fillId="6" borderId="53" xfId="0" applyNumberFormat="1" applyFont="1" applyFill="1" applyBorder="1" applyAlignment="1">
      <alignment horizontal="center"/>
    </xf>
    <xf numFmtId="164" fontId="13" fillId="6" borderId="17" xfId="1" applyNumberFormat="1" applyFont="1" applyFill="1" applyBorder="1" applyAlignment="1">
      <alignment horizontal="center" vertical="center"/>
    </xf>
    <xf numFmtId="168" fontId="13" fillId="6" borderId="35" xfId="0" applyNumberFormat="1" applyFont="1" applyFill="1" applyBorder="1" applyAlignment="1">
      <alignment horizontal="center" vertical="center"/>
    </xf>
    <xf numFmtId="168" fontId="13" fillId="6" borderId="36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indent="2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right" vertical="center" indent="2"/>
    </xf>
    <xf numFmtId="0" fontId="27" fillId="15" borderId="15" xfId="0" applyFont="1" applyFill="1" applyBorder="1" applyAlignment="1">
      <alignment horizontal="right" vertical="center" indent="2"/>
    </xf>
    <xf numFmtId="0" fontId="16" fillId="10" borderId="31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center" vertical="center"/>
    </xf>
    <xf numFmtId="0" fontId="10" fillId="13" borderId="45" xfId="0" applyFont="1" applyFill="1" applyBorder="1" applyAlignment="1">
      <alignment horizontal="center" vertical="center"/>
    </xf>
    <xf numFmtId="167" fontId="10" fillId="13" borderId="17" xfId="0" applyNumberFormat="1" applyFont="1" applyFill="1" applyBorder="1" applyAlignment="1">
      <alignment horizontal="center" vertical="center"/>
    </xf>
    <xf numFmtId="167" fontId="10" fillId="13" borderId="21" xfId="0" applyNumberFormat="1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right" vertical="center" indent="2"/>
    </xf>
    <xf numFmtId="0" fontId="13" fillId="10" borderId="18" xfId="0" applyFont="1" applyFill="1" applyBorder="1" applyAlignment="1">
      <alignment horizontal="right" vertical="center" indent="2"/>
    </xf>
    <xf numFmtId="0" fontId="11" fillId="13" borderId="33" xfId="0" applyFont="1" applyFill="1" applyBorder="1" applyAlignment="1">
      <alignment horizontal="right" vertical="center" indent="1"/>
    </xf>
    <xf numFmtId="0" fontId="11" fillId="13" borderId="45" xfId="0" applyFont="1" applyFill="1" applyBorder="1" applyAlignment="1">
      <alignment horizontal="right" vertical="center" indent="1"/>
    </xf>
    <xf numFmtId="0" fontId="13" fillId="10" borderId="42" xfId="0" applyFont="1" applyFill="1" applyBorder="1" applyAlignment="1">
      <alignment horizontal="right" vertical="center" indent="2"/>
    </xf>
    <xf numFmtId="0" fontId="13" fillId="10" borderId="43" xfId="0" applyFont="1" applyFill="1" applyBorder="1" applyAlignment="1">
      <alignment horizontal="right" vertical="center" indent="2"/>
    </xf>
    <xf numFmtId="0" fontId="7" fillId="10" borderId="31" xfId="0" applyFont="1" applyFill="1" applyBorder="1" applyAlignment="1">
      <alignment horizontal="right" vertical="center" indent="2"/>
    </xf>
    <xf numFmtId="0" fontId="7" fillId="10" borderId="15" xfId="0" applyFont="1" applyFill="1" applyBorder="1" applyAlignment="1">
      <alignment horizontal="right" vertical="center" indent="2"/>
    </xf>
    <xf numFmtId="0" fontId="23" fillId="10" borderId="12" xfId="0" applyFont="1" applyFill="1" applyBorder="1" applyAlignment="1">
      <alignment horizontal="right" vertical="center" indent="1"/>
    </xf>
    <xf numFmtId="0" fontId="16" fillId="10" borderId="6" xfId="0" applyFont="1" applyFill="1" applyBorder="1" applyAlignment="1">
      <alignment horizontal="right" vertical="center" indent="1"/>
    </xf>
    <xf numFmtId="0" fontId="16" fillId="10" borderId="41" xfId="0" applyFont="1" applyFill="1" applyBorder="1" applyAlignment="1">
      <alignment horizontal="right" vertical="center" indent="1"/>
    </xf>
    <xf numFmtId="0" fontId="11" fillId="15" borderId="17" xfId="0" applyFont="1" applyFill="1" applyBorder="1" applyAlignment="1">
      <alignment horizontal="right" vertical="center" indent="1"/>
    </xf>
    <xf numFmtId="0" fontId="11" fillId="15" borderId="21" xfId="0" applyFont="1" applyFill="1" applyBorder="1" applyAlignment="1">
      <alignment horizontal="right" vertical="center" indent="1"/>
    </xf>
    <xf numFmtId="0" fontId="11" fillId="13" borderId="17" xfId="0" applyFont="1" applyFill="1" applyBorder="1" applyAlignment="1">
      <alignment horizontal="right" vertical="center" indent="1"/>
    </xf>
    <xf numFmtId="0" fontId="11" fillId="13" borderId="21" xfId="0" applyFont="1" applyFill="1" applyBorder="1" applyAlignment="1">
      <alignment horizontal="right" vertical="center" indent="1"/>
    </xf>
    <xf numFmtId="3" fontId="12" fillId="10" borderId="24" xfId="0" applyNumberFormat="1" applyFont="1" applyFill="1" applyBorder="1" applyAlignment="1">
      <alignment horizontal="right" vertical="center" indent="1"/>
    </xf>
    <xf numFmtId="0" fontId="11" fillId="14" borderId="17" xfId="0" applyFont="1" applyFill="1" applyBorder="1" applyAlignment="1">
      <alignment horizontal="right" vertical="center" indent="1"/>
    </xf>
    <xf numFmtId="0" fontId="11" fillId="14" borderId="21" xfId="0" applyFont="1" applyFill="1" applyBorder="1" applyAlignment="1">
      <alignment horizontal="right" vertical="center" indent="1"/>
    </xf>
    <xf numFmtId="0" fontId="16" fillId="3" borderId="6" xfId="0" applyFont="1" applyFill="1" applyBorder="1" applyAlignment="1">
      <alignment horizontal="right" vertical="center" indent="1"/>
    </xf>
    <xf numFmtId="0" fontId="11" fillId="6" borderId="16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right" vertical="center" indent="1"/>
    </xf>
    <xf numFmtId="0" fontId="10" fillId="13" borderId="19" xfId="0" applyFont="1" applyFill="1" applyBorder="1" applyAlignment="1">
      <alignment horizontal="right" vertical="center" indent="1"/>
    </xf>
    <xf numFmtId="0" fontId="10" fillId="12" borderId="2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 indent="1"/>
    </xf>
    <xf numFmtId="0" fontId="22" fillId="11" borderId="5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right" vertical="center" indent="1"/>
    </xf>
    <xf numFmtId="3" fontId="12" fillId="10" borderId="0" xfId="0" applyNumberFormat="1" applyFont="1" applyFill="1" applyBorder="1" applyAlignment="1">
      <alignment horizontal="right" vertical="center" indent="1"/>
    </xf>
    <xf numFmtId="0" fontId="28" fillId="12" borderId="35" xfId="0" applyFont="1" applyFill="1" applyBorder="1" applyAlignment="1">
      <alignment horizontal="center"/>
    </xf>
    <xf numFmtId="0" fontId="28" fillId="12" borderId="38" xfId="0" applyFont="1" applyFill="1" applyBorder="1" applyAlignment="1">
      <alignment horizontal="center"/>
    </xf>
    <xf numFmtId="0" fontId="28" fillId="12" borderId="21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right" vertical="center" indent="1"/>
    </xf>
    <xf numFmtId="0" fontId="11" fillId="17" borderId="33" xfId="0" applyFont="1" applyFill="1" applyBorder="1" applyAlignment="1">
      <alignment horizontal="center" vertical="center" wrapText="1"/>
    </xf>
    <xf numFmtId="0" fontId="11" fillId="17" borderId="46" xfId="0" applyFont="1" applyFill="1" applyBorder="1" applyAlignment="1">
      <alignment horizontal="center" vertical="center" wrapText="1"/>
    </xf>
    <xf numFmtId="0" fontId="11" fillId="17" borderId="45" xfId="0" applyFont="1" applyFill="1" applyBorder="1" applyAlignment="1">
      <alignment horizontal="center" vertical="center" wrapText="1"/>
    </xf>
    <xf numFmtId="0" fontId="10" fillId="17" borderId="22" xfId="0" applyFont="1" applyFill="1" applyBorder="1" applyAlignment="1">
      <alignment horizontal="center" vertical="center"/>
    </xf>
    <xf numFmtId="0" fontId="10" fillId="17" borderId="23" xfId="0" applyFont="1" applyFill="1" applyBorder="1" applyAlignment="1">
      <alignment horizontal="center" vertical="center"/>
    </xf>
    <xf numFmtId="0" fontId="11" fillId="17" borderId="66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25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right" vertical="center" indent="1"/>
    </xf>
    <xf numFmtId="0" fontId="11" fillId="17" borderId="1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right" vertical="center" indent="1"/>
    </xf>
    <xf numFmtId="3" fontId="21" fillId="10" borderId="9" xfId="0" applyNumberFormat="1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 indent="2"/>
    </xf>
    <xf numFmtId="0" fontId="16" fillId="0" borderId="18" xfId="0" applyFont="1" applyFill="1" applyBorder="1" applyAlignment="1">
      <alignment horizontal="right" vertical="center" indent="1"/>
    </xf>
    <xf numFmtId="0" fontId="23" fillId="10" borderId="0" xfId="0" applyFont="1" applyFill="1" applyBorder="1" applyAlignment="1">
      <alignment horizontal="right" vertical="center" indent="1" readingOrder="2"/>
    </xf>
    <xf numFmtId="0" fontId="16" fillId="10" borderId="68" xfId="0" applyFont="1" applyFill="1" applyBorder="1" applyAlignment="1">
      <alignment horizontal="right" vertical="center" indent="1"/>
    </xf>
    <xf numFmtId="0" fontId="16" fillId="10" borderId="18" xfId="0" applyFont="1" applyFill="1" applyBorder="1" applyAlignment="1">
      <alignment horizontal="right" vertical="center" indent="1"/>
    </xf>
    <xf numFmtId="0" fontId="10" fillId="11" borderId="67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right" vertical="center" indent="2"/>
    </xf>
    <xf numFmtId="0" fontId="16" fillId="0" borderId="18" xfId="0" applyFont="1" applyFill="1" applyBorder="1" applyAlignment="1">
      <alignment horizontal="right" vertical="center" indent="2"/>
    </xf>
    <xf numFmtId="3" fontId="35" fillId="0" borderId="46" xfId="0" applyNumberFormat="1" applyFont="1" applyFill="1" applyBorder="1" applyAlignment="1">
      <alignment horizontal="right" vertical="center"/>
    </xf>
    <xf numFmtId="0" fontId="21" fillId="10" borderId="9" xfId="0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indent="2"/>
    </xf>
    <xf numFmtId="0" fontId="23" fillId="10" borderId="0" xfId="0" applyFont="1" applyFill="1" applyBorder="1" applyAlignment="1">
      <alignment horizontal="right" indent="1"/>
    </xf>
    <xf numFmtId="0" fontId="10" fillId="11" borderId="16" xfId="0" applyFont="1" applyFill="1" applyBorder="1" applyAlignment="1">
      <alignment horizontal="right" vertical="center" indent="1"/>
    </xf>
    <xf numFmtId="0" fontId="16" fillId="0" borderId="41" xfId="0" applyFont="1" applyFill="1" applyBorder="1" applyAlignment="1">
      <alignment horizontal="right" vertical="center" indent="1"/>
    </xf>
    <xf numFmtId="16" fontId="2" fillId="8" borderId="0" xfId="0" quotePrefix="1" applyNumberFormat="1" applyFont="1" applyFill="1" applyAlignment="1">
      <alignment horizontal="center" vertical="center"/>
    </xf>
    <xf numFmtId="0" fontId="2" fillId="8" borderId="0" xfId="0" quotePrefix="1" applyFont="1" applyFill="1" applyAlignment="1">
      <alignment horizontal="center" vertical="center"/>
    </xf>
    <xf numFmtId="0" fontId="14" fillId="16" borderId="5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left"/>
    </xf>
    <xf numFmtId="0" fontId="14" fillId="9" borderId="0" xfId="0" applyFont="1" applyFill="1" applyAlignment="1">
      <alignment horizontal="left"/>
    </xf>
    <xf numFmtId="0" fontId="20" fillId="3" borderId="49" xfId="0" applyFont="1" applyFill="1" applyBorder="1" applyAlignment="1">
      <alignment horizontal="left"/>
    </xf>
    <xf numFmtId="0" fontId="20" fillId="3" borderId="50" xfId="0" applyFont="1" applyFill="1" applyBorder="1" applyAlignment="1">
      <alignment horizontal="left"/>
    </xf>
    <xf numFmtId="0" fontId="14" fillId="6" borderId="5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right" vertical="center" indent="1"/>
    </xf>
    <xf numFmtId="0" fontId="11" fillId="6" borderId="21" xfId="0" applyFont="1" applyFill="1" applyBorder="1" applyAlignment="1">
      <alignment horizontal="right" vertical="center" indent="1"/>
    </xf>
    <xf numFmtId="0" fontId="9" fillId="16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/>
    </xf>
    <xf numFmtId="0" fontId="20" fillId="7" borderId="7" xfId="0" applyFont="1" applyFill="1" applyBorder="1" applyAlignment="1">
      <alignment horizontal="left"/>
    </xf>
    <xf numFmtId="16" fontId="2" fillId="2" borderId="0" xfId="0" quotePrefix="1" applyNumberFormat="1" applyFont="1" applyFill="1" applyAlignment="1">
      <alignment horizontal="center" vertical="center"/>
    </xf>
    <xf numFmtId="16" fontId="2" fillId="2" borderId="8" xfId="0" quotePrefix="1" applyNumberFormat="1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6" fontId="2" fillId="2" borderId="0" xfId="0" quotePrefix="1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0" fillId="16" borderId="0" xfId="0" applyFont="1" applyFill="1" applyAlignment="1">
      <alignment horizontal="left"/>
    </xf>
    <xf numFmtId="0" fontId="0" fillId="0" borderId="0" xfId="0"/>
    <xf numFmtId="0" fontId="0" fillId="0" borderId="8" xfId="0" applyBorder="1"/>
    <xf numFmtId="0" fontId="0" fillId="0" borderId="4" xfId="0" applyBorder="1"/>
    <xf numFmtId="0" fontId="2" fillId="2" borderId="65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16" fontId="2" fillId="2" borderId="72" xfId="0" quotePrefix="1" applyNumberFormat="1" applyFont="1" applyFill="1" applyBorder="1" applyAlignment="1">
      <alignment horizontal="center" vertical="center"/>
    </xf>
    <xf numFmtId="0" fontId="2" fillId="2" borderId="69" xfId="0" quotePrefix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left"/>
    </xf>
    <xf numFmtId="0" fontId="13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14" fillId="16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2" fillId="8" borderId="65" xfId="0" applyFont="1" applyFill="1" applyBorder="1" applyAlignment="1">
      <alignment horizontal="center"/>
    </xf>
    <xf numFmtId="1" fontId="20" fillId="3" borderId="22" xfId="0" applyNumberFormat="1" applyFont="1" applyFill="1" applyBorder="1" applyAlignment="1">
      <alignment horizontal="center"/>
    </xf>
    <xf numFmtId="1" fontId="20" fillId="3" borderId="24" xfId="0" applyNumberFormat="1" applyFont="1" applyFill="1" applyBorder="1" applyAlignment="1">
      <alignment horizontal="center"/>
    </xf>
    <xf numFmtId="164" fontId="20" fillId="3" borderId="24" xfId="1" applyNumberFormat="1" applyFont="1" applyFill="1" applyBorder="1" applyAlignment="1">
      <alignment horizontal="center"/>
    </xf>
    <xf numFmtId="164" fontId="25" fillId="3" borderId="25" xfId="1" applyNumberFormat="1" applyFont="1" applyFill="1" applyBorder="1" applyAlignment="1">
      <alignment horizontal="center"/>
    </xf>
    <xf numFmtId="1" fontId="20" fillId="3" borderId="55" xfId="0" applyNumberFormat="1" applyFont="1" applyFill="1" applyBorder="1" applyAlignment="1">
      <alignment horizontal="center"/>
    </xf>
    <xf numFmtId="164" fontId="25" fillId="3" borderId="75" xfId="1" applyNumberFormat="1" applyFont="1" applyFill="1" applyBorder="1" applyAlignment="1">
      <alignment horizontal="center"/>
    </xf>
    <xf numFmtId="164" fontId="26" fillId="3" borderId="75" xfId="1" applyNumberFormat="1" applyFont="1" applyFill="1" applyBorder="1" applyAlignment="1">
      <alignment horizontal="center"/>
    </xf>
    <xf numFmtId="164" fontId="5" fillId="3" borderId="75" xfId="1" applyNumberFormat="1" applyFont="1" applyFill="1" applyBorder="1" applyAlignment="1">
      <alignment horizontal="center"/>
    </xf>
    <xf numFmtId="1" fontId="20" fillId="16" borderId="55" xfId="0" applyNumberFormat="1" applyFont="1" applyFill="1" applyBorder="1" applyAlignment="1">
      <alignment horizontal="center"/>
    </xf>
    <xf numFmtId="164" fontId="25" fillId="16" borderId="75" xfId="1" applyNumberFormat="1" applyFont="1" applyFill="1" applyBorder="1" applyAlignment="1">
      <alignment horizontal="center"/>
    </xf>
    <xf numFmtId="1" fontId="20" fillId="5" borderId="55" xfId="0" applyNumberFormat="1" applyFont="1" applyFill="1" applyBorder="1" applyAlignment="1">
      <alignment horizontal="center"/>
    </xf>
    <xf numFmtId="164" fontId="25" fillId="5" borderId="75" xfId="1" applyNumberFormat="1" applyFont="1" applyFill="1" applyBorder="1" applyAlignment="1">
      <alignment horizontal="center"/>
    </xf>
    <xf numFmtId="166" fontId="20" fillId="6" borderId="11" xfId="0" applyNumberFormat="1" applyFont="1" applyFill="1" applyBorder="1" applyAlignment="1">
      <alignment horizontal="center"/>
    </xf>
    <xf numFmtId="166" fontId="20" fillId="6" borderId="12" xfId="0" applyNumberFormat="1" applyFont="1" applyFill="1" applyBorder="1" applyAlignment="1">
      <alignment horizontal="center"/>
    </xf>
    <xf numFmtId="164" fontId="20" fillId="6" borderId="12" xfId="1" applyNumberFormat="1" applyFont="1" applyFill="1" applyBorder="1" applyAlignment="1">
      <alignment horizontal="center"/>
    </xf>
    <xf numFmtId="164" fontId="20" fillId="6" borderId="13" xfId="1" applyNumberFormat="1" applyFont="1" applyFill="1" applyBorder="1" applyAlignment="1">
      <alignment horizontal="center"/>
    </xf>
    <xf numFmtId="164" fontId="6" fillId="3" borderId="75" xfId="1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4" fontId="19" fillId="16" borderId="0" xfId="1" applyNumberFormat="1" applyFont="1" applyFill="1" applyAlignment="1">
      <alignment horizontal="center"/>
    </xf>
    <xf numFmtId="9" fontId="8" fillId="7" borderId="0" xfId="1" applyFont="1" applyFill="1" applyAlignment="1">
      <alignment horizontal="center"/>
    </xf>
    <xf numFmtId="9" fontId="8" fillId="7" borderId="5" xfId="1" applyFont="1" applyFill="1" applyBorder="1" applyAlignment="1">
      <alignment horizontal="center"/>
    </xf>
    <xf numFmtId="16" fontId="10" fillId="12" borderId="26" xfId="0" quotePrefix="1" applyNumberFormat="1" applyFont="1" applyFill="1" applyBorder="1" applyAlignment="1">
      <alignment horizontal="center" vertical="center"/>
    </xf>
    <xf numFmtId="167" fontId="10" fillId="13" borderId="61" xfId="0" applyNumberFormat="1" applyFont="1" applyFill="1" applyBorder="1" applyAlignment="1">
      <alignment horizontal="center" vertical="center"/>
    </xf>
    <xf numFmtId="167" fontId="16" fillId="10" borderId="2" xfId="0" applyNumberFormat="1" applyFont="1" applyFill="1" applyBorder="1" applyAlignment="1">
      <alignment horizontal="center" vertical="center"/>
    </xf>
    <xf numFmtId="167" fontId="16" fillId="10" borderId="76" xfId="0" applyNumberFormat="1" applyFont="1" applyFill="1" applyBorder="1" applyAlignment="1">
      <alignment horizontal="center" vertical="center"/>
    </xf>
    <xf numFmtId="164" fontId="15" fillId="10" borderId="26" xfId="1" applyNumberFormat="1" applyFont="1" applyFill="1" applyBorder="1" applyAlignment="1">
      <alignment horizontal="center" vertical="center"/>
    </xf>
    <xf numFmtId="164" fontId="31" fillId="10" borderId="42" xfId="1" applyNumberFormat="1" applyFont="1" applyFill="1" applyBorder="1" applyAlignment="1">
      <alignment horizontal="center" vertical="center"/>
    </xf>
    <xf numFmtId="1" fontId="28" fillId="3" borderId="40" xfId="0" applyNumberFormat="1" applyFont="1" applyFill="1" applyBorder="1" applyAlignment="1">
      <alignment horizontal="center" vertical="center"/>
    </xf>
    <xf numFmtId="167" fontId="16" fillId="0" borderId="27" xfId="0" applyNumberFormat="1" applyFont="1" applyFill="1" applyBorder="1" applyAlignment="1">
      <alignment horizontal="center" vertical="center"/>
    </xf>
    <xf numFmtId="167" fontId="16" fillId="0" borderId="29" xfId="0" applyNumberFormat="1" applyFont="1" applyFill="1" applyBorder="1" applyAlignment="1">
      <alignment horizontal="center" vertical="center"/>
    </xf>
    <xf numFmtId="167" fontId="13" fillId="9" borderId="1" xfId="0" applyNumberFormat="1" applyFont="1" applyFill="1" applyBorder="1" applyAlignment="1">
      <alignment horizontal="center" vertical="center"/>
    </xf>
    <xf numFmtId="164" fontId="13" fillId="9" borderId="1" xfId="1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/>
    </xf>
    <xf numFmtId="3" fontId="20" fillId="7" borderId="7" xfId="0" applyNumberFormat="1" applyFont="1" applyFill="1" applyBorder="1" applyAlignment="1">
      <alignment horizontal="center"/>
    </xf>
    <xf numFmtId="3" fontId="20" fillId="7" borderId="4" xfId="0" applyNumberFormat="1" applyFont="1" applyFill="1" applyBorder="1" applyAlignment="1">
      <alignment horizontal="center"/>
    </xf>
    <xf numFmtId="167" fontId="16" fillId="13" borderId="33" xfId="0" applyNumberFormat="1" applyFont="1" applyFill="1" applyBorder="1" applyAlignment="1">
      <alignment horizontal="center" vertical="center"/>
    </xf>
    <xf numFmtId="167" fontId="16" fillId="13" borderId="46" xfId="0" applyNumberFormat="1" applyFont="1" applyFill="1" applyBorder="1" applyAlignment="1">
      <alignment horizontal="center" vertical="center"/>
    </xf>
    <xf numFmtId="167" fontId="16" fillId="13" borderId="45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4" fontId="19" fillId="7" borderId="1" xfId="1" applyNumberFormat="1" applyFont="1" applyFill="1" applyBorder="1" applyAlignment="1">
      <alignment horizontal="center"/>
    </xf>
    <xf numFmtId="0" fontId="20" fillId="7" borderId="5" xfId="0" applyFont="1" applyFill="1" applyBorder="1" applyAlignment="1">
      <alignment horizontal="left"/>
    </xf>
    <xf numFmtId="0" fontId="0" fillId="7" borderId="4" xfId="0" applyFill="1" applyBorder="1"/>
    <xf numFmtId="3" fontId="11" fillId="7" borderId="7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167" fontId="10" fillId="13" borderId="59" xfId="0" applyNumberFormat="1" applyFont="1" applyFill="1" applyBorder="1" applyAlignment="1">
      <alignment horizontal="center" vertical="center"/>
    </xf>
    <xf numFmtId="167" fontId="10" fillId="13" borderId="46" xfId="0" applyNumberFormat="1" applyFont="1" applyFill="1" applyBorder="1" applyAlignment="1">
      <alignment horizontal="center" vertical="center"/>
    </xf>
    <xf numFmtId="167" fontId="10" fillId="13" borderId="4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3D8828"/>
      <color rgb="FFFF0000"/>
      <color rgb="FF66FF66"/>
      <color rgb="FFFF9999"/>
      <color rgb="FFCCFFFF"/>
      <color rgb="FF36570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ar-TN" sz="1400"/>
              <a:t>تطوّر إنتاج مشتقات الفسفاط</a:t>
            </a:r>
            <a:r>
              <a:rPr lang="fr-FR" sz="1400"/>
              <a:t>  </a:t>
            </a:r>
            <a:r>
              <a:rPr lang="ar-TN" sz="1400"/>
              <a:t> إلى موفى فيفري  </a:t>
            </a:r>
            <a:endParaRPr lang="fr-FR" sz="1400"/>
          </a:p>
        </c:rich>
      </c:tx>
      <c:layout>
        <c:manualLayout>
          <c:xMode val="edge"/>
          <c:yMode val="edge"/>
          <c:x val="0.14470786741785124"/>
          <c:y val="3.60880429674977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807231329645212E-2"/>
          <c:y val="0.14112674415702794"/>
          <c:w val="0.8725393808594889"/>
          <c:h val="0.6710650902344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Mines!$M$19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Mines!$M$22:$M$26</c:f>
              <c:numCache>
                <c:formatCode>#,##0</c:formatCode>
                <c:ptCount val="5"/>
                <c:pt idx="0">
                  <c:v>99.301000000000002</c:v>
                </c:pt>
                <c:pt idx="1">
                  <c:v>90.72</c:v>
                </c:pt>
                <c:pt idx="2">
                  <c:v>87.093999999999994</c:v>
                </c:pt>
                <c:pt idx="3">
                  <c:v>8.82</c:v>
                </c:pt>
                <c:pt idx="4">
                  <c:v>19.928000000000001</c:v>
                </c:pt>
              </c:numCache>
            </c:numRef>
          </c:val>
        </c:ser>
        <c:ser>
          <c:idx val="1"/>
          <c:order val="1"/>
          <c:tx>
            <c:strRef>
              <c:f>Mines!$N$19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Mines!$N$22:$N$26</c:f>
              <c:numCache>
                <c:formatCode>#,##0</c:formatCode>
                <c:ptCount val="5"/>
                <c:pt idx="0">
                  <c:v>75.195999999999998</c:v>
                </c:pt>
                <c:pt idx="1">
                  <c:v>27.555</c:v>
                </c:pt>
                <c:pt idx="2">
                  <c:v>71.179000000000002</c:v>
                </c:pt>
                <c:pt idx="3">
                  <c:v>7.34</c:v>
                </c:pt>
                <c:pt idx="4">
                  <c:v>13.603999999999999</c:v>
                </c:pt>
              </c:numCache>
            </c:numRef>
          </c:val>
        </c:ser>
        <c:ser>
          <c:idx val="2"/>
          <c:order val="2"/>
          <c:tx>
            <c:strRef>
              <c:f>Mines!$O$19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F0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Mines!$O$22:$O$26</c:f>
              <c:numCache>
                <c:formatCode>#,##0</c:formatCode>
                <c:ptCount val="5"/>
                <c:pt idx="0">
                  <c:v>209.762</c:v>
                </c:pt>
                <c:pt idx="1">
                  <c:v>130.309</c:v>
                </c:pt>
                <c:pt idx="2">
                  <c:v>228.4</c:v>
                </c:pt>
                <c:pt idx="3">
                  <c:v>13.49</c:v>
                </c:pt>
                <c:pt idx="4">
                  <c:v>23.675000000000001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6208"/>
        <c:axId val="84674240"/>
      </c:barChart>
      <c:catAx>
        <c:axId val="8476620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4674240"/>
        <c:crosses val="autoZero"/>
        <c:auto val="1"/>
        <c:lblAlgn val="ctr"/>
        <c:lblOffset val="100"/>
        <c:noMultiLvlLbl val="0"/>
      </c:catAx>
      <c:valAx>
        <c:axId val="84674240"/>
        <c:scaling>
          <c:orientation val="minMax"/>
          <c:max val="300"/>
          <c:min val="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84766208"/>
        <c:crosses val="autoZero"/>
        <c:crossBetween val="between"/>
        <c:majorUnit val="100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7403160396905812E-2"/>
          <c:y val="0.15686890186195812"/>
          <c:w val="0.33940398006459443"/>
          <c:h val="0.102857899791363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 w="19050">
      <a:solidFill>
        <a:sysClr val="windowText" lastClr="000000"/>
      </a:solidFill>
    </a:ln>
  </c:spPr>
  <c:txPr>
    <a:bodyPr/>
    <a:lstStyle/>
    <a:p>
      <a:pPr>
        <a:defRPr b="1"/>
      </a:pPr>
      <a:endParaRPr lang="fr-F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4089260272295"/>
          <c:y val="0.15459505808786952"/>
          <c:w val="0.84956039282429807"/>
          <c:h val="0.4986077736299132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CA!$A$13:$B$13</c:f>
              <c:strCache>
                <c:ptCount val="1"/>
                <c:pt idx="0">
                  <c:v>Chiffre d'Affaire export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83464566929134E-2"/>
                  <c:y val="0.23569011071867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786729857820103E-3"/>
                  <c:y val="0.2289561075552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8988941548183405E-3"/>
                  <c:y val="0.195286091738332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CA!$C$4:$E$5</c:f>
              <c:strCache>
                <c:ptCount val="3"/>
                <c:pt idx="0">
                  <c:v>02 mois 2010</c:v>
                </c:pt>
                <c:pt idx="1">
                  <c:v>02 mois 2013</c:v>
                </c:pt>
                <c:pt idx="2">
                  <c:v>02 mois 2014</c:v>
                </c:pt>
              </c:strCache>
            </c:strRef>
          </c:cat>
          <c:val>
            <c:numRef>
              <c:f>CA!$C$13:$E$13</c:f>
              <c:numCache>
                <c:formatCode>0</c:formatCode>
                <c:ptCount val="3"/>
                <c:pt idx="0">
                  <c:v>221.16365149999999</c:v>
                </c:pt>
                <c:pt idx="1">
                  <c:v>210.48049023679999</c:v>
                </c:pt>
                <c:pt idx="2">
                  <c:v>190.33156918500003</c:v>
                </c:pt>
              </c:numCache>
            </c:numRef>
          </c:val>
        </c:ser>
        <c:ser>
          <c:idx val="0"/>
          <c:order val="1"/>
          <c:tx>
            <c:strRef>
              <c:f>CA!$A$12</c:f>
              <c:strCache>
                <c:ptCount val="1"/>
                <c:pt idx="0">
                  <c:v>Chiffre d'Affaire global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957345971563982E-2"/>
                  <c:y val="0.262626123372241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797788309636683E-3"/>
                  <c:y val="0.24242411388206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191153238546741E-3"/>
                  <c:y val="0.26936012653563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CA!$C$4:$E$5</c:f>
              <c:strCache>
                <c:ptCount val="3"/>
                <c:pt idx="0">
                  <c:v>02 mois 2010</c:v>
                </c:pt>
                <c:pt idx="1">
                  <c:v>02 mois 2013</c:v>
                </c:pt>
                <c:pt idx="2">
                  <c:v>02 mois 2014</c:v>
                </c:pt>
              </c:strCache>
            </c:strRef>
          </c:cat>
          <c:val>
            <c:numRef>
              <c:f>CA!$C$12:$E$12</c:f>
              <c:numCache>
                <c:formatCode>0</c:formatCode>
                <c:ptCount val="3"/>
                <c:pt idx="0">
                  <c:v>256.82755450000002</c:v>
                </c:pt>
                <c:pt idx="1">
                  <c:v>253.48522207679997</c:v>
                </c:pt>
                <c:pt idx="2">
                  <c:v>250.9991529715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16065792"/>
        <c:axId val="116012096"/>
        <c:axId val="0"/>
      </c:bar3DChart>
      <c:catAx>
        <c:axId val="1160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6012096"/>
        <c:crosses val="autoZero"/>
        <c:auto val="1"/>
        <c:lblAlgn val="ctr"/>
        <c:lblOffset val="100"/>
        <c:noMultiLvlLbl val="0"/>
      </c:catAx>
      <c:valAx>
        <c:axId val="11601209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11606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117525593660979E-2"/>
          <c:y val="0.90283893908166157"/>
          <c:w val="0.92880257041014269"/>
          <c:h val="9.6057972833078265E-2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091926926812718E-2"/>
          <c:y val="0.19362537571862867"/>
          <c:w val="0.96916581324461004"/>
          <c:h val="0.5338149741591579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CA!$E$4</c:f>
              <c:strCache>
                <c:ptCount val="1"/>
                <c:pt idx="0">
                  <c:v>02 mois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1.4909480668743143E-2"/>
                  <c:y val="-1.017811296984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PRODUCTION!$E$9:$E$13</c:f>
              <c:numCache>
                <c:formatCode>#,##0</c:formatCode>
                <c:ptCount val="5"/>
                <c:pt idx="0">
                  <c:v>87.093999999999994</c:v>
                </c:pt>
                <c:pt idx="1">
                  <c:v>99.301000000000002</c:v>
                </c:pt>
                <c:pt idx="2">
                  <c:v>90.72</c:v>
                </c:pt>
                <c:pt idx="3">
                  <c:v>19.928000000000001</c:v>
                </c:pt>
                <c:pt idx="4">
                  <c:v>8.82</c:v>
                </c:pt>
              </c:numCache>
            </c:numRef>
          </c:val>
        </c:ser>
        <c:ser>
          <c:idx val="1"/>
          <c:order val="1"/>
          <c:tx>
            <c:strRef>
              <c:f>CA!$D$4</c:f>
              <c:strCache>
                <c:ptCount val="1"/>
                <c:pt idx="0">
                  <c:v>02 mois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7388922272634734E-3"/>
                  <c:y val="1.017811296984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368545926483386E-2"/>
                  <c:y val="-1.3520060299309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1392666246167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PRODUCTION!$D$9:$D$13</c:f>
              <c:numCache>
                <c:formatCode>#,##0</c:formatCode>
                <c:ptCount val="5"/>
                <c:pt idx="0">
                  <c:v>71.179000000000002</c:v>
                </c:pt>
                <c:pt idx="1">
                  <c:v>75.195999999999998</c:v>
                </c:pt>
                <c:pt idx="2">
                  <c:v>27.555</c:v>
                </c:pt>
                <c:pt idx="3">
                  <c:v>13.603999999999999</c:v>
                </c:pt>
                <c:pt idx="4">
                  <c:v>7.34</c:v>
                </c:pt>
              </c:numCache>
            </c:numRef>
          </c:val>
        </c:ser>
        <c:ser>
          <c:idx val="0"/>
          <c:order val="2"/>
          <c:tx>
            <c:strRef>
              <c:f>CA!$C$4</c:f>
              <c:strCache>
                <c:ptCount val="1"/>
                <c:pt idx="0">
                  <c:v>02 mois 2010</c:v>
                </c:pt>
              </c:strCache>
            </c:strRef>
          </c:tx>
          <c:spPr>
            <a:solidFill>
              <a:srgbClr val="3D882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PRODUCTION!$C$9:$C$13</c:f>
              <c:numCache>
                <c:formatCode>#,##0</c:formatCode>
                <c:ptCount val="5"/>
                <c:pt idx="0">
                  <c:v>228.4</c:v>
                </c:pt>
                <c:pt idx="1">
                  <c:v>209.762</c:v>
                </c:pt>
                <c:pt idx="2">
                  <c:v>130.309</c:v>
                </c:pt>
                <c:pt idx="3">
                  <c:v>23.675000000000001</c:v>
                </c:pt>
                <c:pt idx="4">
                  <c:v>13.49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59648"/>
        <c:axId val="116014400"/>
        <c:axId val="0"/>
      </c:bar3DChart>
      <c:catAx>
        <c:axId val="8565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6014400"/>
        <c:crosses val="autoZero"/>
        <c:auto val="1"/>
        <c:lblAlgn val="ctr"/>
        <c:lblOffset val="100"/>
        <c:noMultiLvlLbl val="0"/>
      </c:catAx>
      <c:valAx>
        <c:axId val="1160144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8565964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9172"/>
          <c:h val="7.5180992093529714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091926926812718E-2"/>
          <c:y val="0.19362537571862867"/>
          <c:w val="0.96916581324461026"/>
          <c:h val="0.5338149741591579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CA!$E$4</c:f>
              <c:strCache>
                <c:ptCount val="1"/>
                <c:pt idx="0">
                  <c:v>02 mois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1.4909480668743143E-2"/>
                  <c:y val="-1.0178112969840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EXPORT!$F$9:$F$13</c:f>
              <c:numCache>
                <c:formatCode>#,##0</c:formatCode>
                <c:ptCount val="5"/>
                <c:pt idx="0">
                  <c:v>91.254999999999995</c:v>
                </c:pt>
                <c:pt idx="1">
                  <c:v>113.03</c:v>
                </c:pt>
                <c:pt idx="2">
                  <c:v>25.620999999999999</c:v>
                </c:pt>
                <c:pt idx="3">
                  <c:v>19.9282</c:v>
                </c:pt>
                <c:pt idx="4" formatCode="0">
                  <c:v>5.0999999999999996</c:v>
                </c:pt>
              </c:numCache>
            </c:numRef>
          </c:val>
        </c:ser>
        <c:ser>
          <c:idx val="1"/>
          <c:order val="1"/>
          <c:tx>
            <c:strRef>
              <c:f>CA!$D$4</c:f>
              <c:strCache>
                <c:ptCount val="1"/>
                <c:pt idx="0">
                  <c:v>02 mois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7388922272634734E-3"/>
                  <c:y val="1.017811296984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368545926483386E-2"/>
                  <c:y val="-1.3520060299309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1392666246167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EXPORT!$E$9:$E$13</c:f>
              <c:numCache>
                <c:formatCode>#,##0</c:formatCode>
                <c:ptCount val="5"/>
                <c:pt idx="0">
                  <c:v>77.188000000000002</c:v>
                </c:pt>
                <c:pt idx="1">
                  <c:v>70.209999999999994</c:v>
                </c:pt>
                <c:pt idx="2">
                  <c:v>59.505000000000003</c:v>
                </c:pt>
                <c:pt idx="3">
                  <c:v>16.074999999999999</c:v>
                </c:pt>
                <c:pt idx="4">
                  <c:v>4</c:v>
                </c:pt>
              </c:numCache>
            </c:numRef>
          </c:val>
        </c:ser>
        <c:ser>
          <c:idx val="0"/>
          <c:order val="2"/>
          <c:tx>
            <c:strRef>
              <c:f>CA!$C$4</c:f>
              <c:strCache>
                <c:ptCount val="1"/>
                <c:pt idx="0">
                  <c:v>02 mois 2010</c:v>
                </c:pt>
              </c:strCache>
            </c:strRef>
          </c:tx>
          <c:spPr>
            <a:solidFill>
              <a:srgbClr val="3D882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EXPORT!$D$9:$D$13</c:f>
              <c:numCache>
                <c:formatCode>#,##0</c:formatCode>
                <c:ptCount val="5"/>
                <c:pt idx="0">
                  <c:v>180.35400000000001</c:v>
                </c:pt>
                <c:pt idx="1">
                  <c:v>93.49</c:v>
                </c:pt>
                <c:pt idx="2">
                  <c:v>86.599000000000004</c:v>
                </c:pt>
                <c:pt idx="3">
                  <c:v>19.675000000000001</c:v>
                </c:pt>
                <c:pt idx="4">
                  <c:v>9.8350000000000009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62208"/>
        <c:axId val="85550784"/>
        <c:axId val="0"/>
      </c:bar3DChart>
      <c:catAx>
        <c:axId val="85662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85550784"/>
        <c:crosses val="autoZero"/>
        <c:auto val="1"/>
        <c:lblAlgn val="ctr"/>
        <c:lblOffset val="100"/>
        <c:noMultiLvlLbl val="0"/>
      </c:catAx>
      <c:valAx>
        <c:axId val="855507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8566220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9195"/>
          <c:h val="7.5180992093529714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579566443083514E-3"/>
          <c:y val="0.15066389428594154"/>
          <c:w val="0.99254204335569152"/>
          <c:h val="0.54827782890774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'ventes locales'!$D$5:$D$6</c:f>
              <c:strCache>
                <c:ptCount val="1"/>
                <c:pt idx="0">
                  <c:v>02 mois 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96250515039143E-3"/>
                  <c:y val="0.1686429512516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9443757725587184E-3"/>
                  <c:y val="0.1264822134387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5010300783484E-3"/>
                  <c:y val="6.3241106719367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443757725587184E-3"/>
                  <c:y val="6.3241106719367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481252575195715E-3"/>
                  <c:y val="4.216073781291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locales'!$D$9:$D$13</c:f>
              <c:numCache>
                <c:formatCode>#,##0.0</c:formatCode>
                <c:ptCount val="5"/>
                <c:pt idx="0">
                  <c:v>18.292000000000002</c:v>
                </c:pt>
                <c:pt idx="1">
                  <c:v>7.2649999999999997</c:v>
                </c:pt>
                <c:pt idx="2">
                  <c:v>3.4870000000000001</c:v>
                </c:pt>
                <c:pt idx="3">
                  <c:v>2.496</c:v>
                </c:pt>
                <c:pt idx="4">
                  <c:v>0.89500000000000002</c:v>
                </c:pt>
              </c:numCache>
            </c:numRef>
          </c:val>
        </c:ser>
        <c:ser>
          <c:idx val="1"/>
          <c:order val="1"/>
          <c:tx>
            <c:strRef>
              <c:f>'ventes locales'!$E$5:$E$6</c:f>
              <c:strCache>
                <c:ptCount val="1"/>
                <c:pt idx="0">
                  <c:v>02 mois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992343355102862E-3"/>
                  <c:y val="0.189722905190211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8892187302298E-3"/>
                  <c:y val="8.708184204247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867235075220047E-3"/>
                  <c:y val="6.8009087796831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443757725587184E-3"/>
                  <c:y val="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697831806870865E-2"/>
                  <c:y val="3.9651012002946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locales'!$E$9:$E$13</c:f>
              <c:numCache>
                <c:formatCode>#,##0.0</c:formatCode>
                <c:ptCount val="5"/>
                <c:pt idx="0">
                  <c:v>14.222</c:v>
                </c:pt>
                <c:pt idx="1">
                  <c:v>5.2320000000000002</c:v>
                </c:pt>
                <c:pt idx="2">
                  <c:v>3.9329999999999998</c:v>
                </c:pt>
                <c:pt idx="3">
                  <c:v>2.2360000000000002</c:v>
                </c:pt>
                <c:pt idx="4">
                  <c:v>0.67600000000000005</c:v>
                </c:pt>
              </c:numCache>
            </c:numRef>
          </c:val>
        </c:ser>
        <c:ser>
          <c:idx val="2"/>
          <c:order val="2"/>
          <c:tx>
            <c:strRef>
              <c:f>'ventes locales'!$F$5:$F$6</c:f>
              <c:strCache>
                <c:ptCount val="1"/>
                <c:pt idx="0">
                  <c:v>02 mois 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798416112695552E-3"/>
                  <c:y val="0.13175230566534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874943629574086E-3"/>
                  <c:y val="0.1054018445322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443757725587184E-3"/>
                  <c:y val="6.3241106719367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443757725587184E-3"/>
                  <c:y val="4.216073781291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3293557711960906E-3"/>
                  <c:y val="4.216073781291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locales'!$F$9:$F$13</c:f>
              <c:numCache>
                <c:formatCode>#,##0.0</c:formatCode>
                <c:ptCount val="5"/>
                <c:pt idx="0">
                  <c:v>21.928000000000001</c:v>
                </c:pt>
                <c:pt idx="1">
                  <c:v>7.6</c:v>
                </c:pt>
                <c:pt idx="2">
                  <c:v>2.9940000000000002</c:v>
                </c:pt>
                <c:pt idx="3">
                  <c:v>0.48799999999999999</c:v>
                </c:pt>
                <c:pt idx="4">
                  <c:v>0.52349999999999997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174912"/>
        <c:axId val="85552512"/>
        <c:axId val="0"/>
      </c:bar3DChart>
      <c:catAx>
        <c:axId val="115174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5552512"/>
        <c:crosses val="autoZero"/>
        <c:auto val="1"/>
        <c:lblAlgn val="ctr"/>
        <c:lblOffset val="100"/>
        <c:noMultiLvlLbl val="0"/>
      </c:catAx>
      <c:valAx>
        <c:axId val="855525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1517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3076923076924"/>
          <c:y val="0.89778967352402916"/>
          <c:w val="0.64599249613031096"/>
          <c:h val="0.10221032647599022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إلى موفى فيفري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9873720218504068"/>
          <c:y val="5.33354122813856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897279505741926E-2"/>
          <c:y val="0.16134975702294641"/>
          <c:w val="0.88274597995277582"/>
          <c:h val="0.691642628829812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Mines!$O$33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Mines!$O$36:$O$40</c:f>
              <c:numCache>
                <c:formatCode>#,##0</c:formatCode>
                <c:ptCount val="5"/>
                <c:pt idx="0">
                  <c:v>86.599000000000004</c:v>
                </c:pt>
                <c:pt idx="1">
                  <c:v>93.49</c:v>
                </c:pt>
                <c:pt idx="2">
                  <c:v>180.35400000000001</c:v>
                </c:pt>
                <c:pt idx="3">
                  <c:v>9.8350000000000009</c:v>
                </c:pt>
                <c:pt idx="4">
                  <c:v>19.675000000000001</c:v>
                </c:pt>
              </c:numCache>
            </c:numRef>
          </c:val>
        </c:ser>
        <c:ser>
          <c:idx val="0"/>
          <c:order val="1"/>
          <c:tx>
            <c:strRef>
              <c:f>Mines!$N$33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Mines!$N$36:$N$40</c:f>
              <c:numCache>
                <c:formatCode>#,##0</c:formatCode>
                <c:ptCount val="5"/>
                <c:pt idx="0">
                  <c:v>59.505000000000003</c:v>
                </c:pt>
                <c:pt idx="1">
                  <c:v>70.209999999999994</c:v>
                </c:pt>
                <c:pt idx="2">
                  <c:v>77.188000000000002</c:v>
                </c:pt>
                <c:pt idx="3">
                  <c:v>4</c:v>
                </c:pt>
                <c:pt idx="4">
                  <c:v>16.074999999999999</c:v>
                </c:pt>
              </c:numCache>
            </c:numRef>
          </c:val>
        </c:ser>
        <c:ser>
          <c:idx val="1"/>
          <c:order val="2"/>
          <c:tx>
            <c:strRef>
              <c:f>Mines!$M$33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Mines!$M$36:$M$40</c:f>
              <c:numCache>
                <c:formatCode>#,##0</c:formatCode>
                <c:ptCount val="5"/>
                <c:pt idx="0">
                  <c:v>25.620999999999999</c:v>
                </c:pt>
                <c:pt idx="1">
                  <c:v>113.03</c:v>
                </c:pt>
                <c:pt idx="2">
                  <c:v>91.254999999999995</c:v>
                </c:pt>
                <c:pt idx="3">
                  <c:v>5.0999999999999996</c:v>
                </c:pt>
                <c:pt idx="4">
                  <c:v>19.9282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2400"/>
        <c:axId val="84676544"/>
      </c:barChart>
      <c:catAx>
        <c:axId val="84902400"/>
        <c:scaling>
          <c:orientation val="maxMin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84676544"/>
        <c:crosses val="autoZero"/>
        <c:auto val="1"/>
        <c:lblAlgn val="ctr"/>
        <c:lblOffset val="100"/>
        <c:noMultiLvlLbl val="0"/>
      </c:catAx>
      <c:valAx>
        <c:axId val="84676544"/>
        <c:scaling>
          <c:orientation val="minMax"/>
          <c:max val="20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281633931208445"/>
              <c:y val="2.723318001091595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2400"/>
        <c:crosses val="autoZero"/>
        <c:crossBetween val="between"/>
        <c:majorUnit val="100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054992217145024E-2"/>
          <c:y val="0.16703587997938035"/>
          <c:w val="0.33964117461710158"/>
          <c:h val="9.0000667716815821E-2"/>
        </c:manualLayout>
      </c:layout>
      <c:overlay val="0"/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190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إلى موفى فيفري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0566772256916168"/>
          <c:y val="1.3802633204959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344525899779814E-3"/>
          <c:y val="0.20635474281287841"/>
          <c:w val="0.9339982502187234"/>
          <c:h val="0.595941881385710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Mines!$O$45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Mines!$O$48:$O$52</c:f>
              <c:numCache>
                <c:formatCode>#,##0</c:formatCode>
                <c:ptCount val="5"/>
                <c:pt idx="0">
                  <c:v>18.292000000000002</c:v>
                </c:pt>
                <c:pt idx="1">
                  <c:v>2.496</c:v>
                </c:pt>
                <c:pt idx="2">
                  <c:v>7.2649999999999997</c:v>
                </c:pt>
                <c:pt idx="3">
                  <c:v>3.4870000000000001</c:v>
                </c:pt>
                <c:pt idx="4">
                  <c:v>0.89500000000000002</c:v>
                </c:pt>
              </c:numCache>
            </c:numRef>
          </c:val>
        </c:ser>
        <c:ser>
          <c:idx val="0"/>
          <c:order val="1"/>
          <c:tx>
            <c:strRef>
              <c:f>Mines!$N$45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Mines!$N$48:$N$52</c:f>
              <c:numCache>
                <c:formatCode>#,##0</c:formatCode>
                <c:ptCount val="5"/>
                <c:pt idx="0">
                  <c:v>14.222</c:v>
                </c:pt>
                <c:pt idx="1">
                  <c:v>2.2360000000000002</c:v>
                </c:pt>
                <c:pt idx="2">
                  <c:v>5.2320000000000002</c:v>
                </c:pt>
                <c:pt idx="3">
                  <c:v>3.9329999999999998</c:v>
                </c:pt>
                <c:pt idx="4">
                  <c:v>0.67600000000000005</c:v>
                </c:pt>
              </c:numCache>
            </c:numRef>
          </c:val>
        </c:ser>
        <c:ser>
          <c:idx val="1"/>
          <c:order val="2"/>
          <c:tx>
            <c:strRef>
              <c:f>Mines!$M$45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Mines!$M$48:$M$52</c:f>
              <c:numCache>
                <c:formatCode>#,##0.0</c:formatCode>
                <c:ptCount val="5"/>
                <c:pt idx="0" formatCode="#,##0">
                  <c:v>21.928000000000001</c:v>
                </c:pt>
                <c:pt idx="1">
                  <c:v>0.48799999999999999</c:v>
                </c:pt>
                <c:pt idx="2" formatCode="#,##0">
                  <c:v>7.6</c:v>
                </c:pt>
                <c:pt idx="3" formatCode="#,##0">
                  <c:v>2.9940000000000002</c:v>
                </c:pt>
                <c:pt idx="4" formatCode="#,##0">
                  <c:v>0.52349999999999997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3424"/>
        <c:axId val="84678848"/>
      </c:barChart>
      <c:catAx>
        <c:axId val="84903424"/>
        <c:scaling>
          <c:orientation val="maxMin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84678848"/>
        <c:crosses val="autoZero"/>
        <c:auto val="1"/>
        <c:lblAlgn val="ctr"/>
        <c:lblOffset val="100"/>
        <c:noMultiLvlLbl val="0"/>
      </c:catAx>
      <c:valAx>
        <c:axId val="84678848"/>
        <c:scaling>
          <c:orientation val="minMax"/>
          <c:max val="3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1884896206156064"/>
              <c:y val="2.268434235714785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3424"/>
        <c:crosses val="autoZero"/>
        <c:crossBetween val="between"/>
        <c:majorUnit val="10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7157148459890801E-2"/>
          <c:y val="0.24468338361113195"/>
          <c:w val="0.43646206293178902"/>
          <c:h val="0.1182662842807741"/>
        </c:manualLayout>
      </c:layout>
      <c:overlay val="0"/>
    </c:legend>
    <c:plotVisOnly val="0"/>
    <c:dispBlanksAs val="gap"/>
    <c:showDLblsOverMax val="0"/>
  </c:chart>
  <c:spPr>
    <a:solidFill>
      <a:sysClr val="window" lastClr="FFFFFF">
        <a:lumMod val="95000"/>
      </a:sysClr>
    </a:solidFill>
    <a:ln w="19050"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49681833570474E-2"/>
          <c:y val="0.20494100470634202"/>
          <c:w val="0.88272921661466996"/>
          <c:h val="0.66913579008817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Mines!$P$13</c:f>
              <c:strCache>
                <c:ptCount val="1"/>
                <c:pt idx="0">
                  <c:v>رقم المعاملات الإجمالي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4371755883630052E-3"/>
                  <c:y val="-1.3805195396708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71755883630052E-3"/>
                  <c:y val="-6.5912934253795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129195046969416E-4"/>
                  <c:y val="-7.92369726377740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100" b="1" baseline="0">
                    <a:solidFill>
                      <a:schemeClr val="tx1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Mines!#REF!</c:f>
            </c:multiLvlStrRef>
          </c:cat>
          <c:val>
            <c:numRef>
              <c:f>Mines!$M$13:$O$13</c:f>
              <c:numCache>
                <c:formatCode>0</c:formatCode>
                <c:ptCount val="3"/>
                <c:pt idx="0">
                  <c:v>250.9991529715</c:v>
                </c:pt>
                <c:pt idx="1">
                  <c:v>253.48522207679997</c:v>
                </c:pt>
                <c:pt idx="2">
                  <c:v>256.82755450000002</c:v>
                </c:pt>
              </c:numCache>
            </c:numRef>
          </c:val>
        </c:ser>
        <c:ser>
          <c:idx val="2"/>
          <c:order val="1"/>
          <c:tx>
            <c:strRef>
              <c:f>Mines!$P$14</c:f>
              <c:strCache>
                <c:ptCount val="1"/>
                <c:pt idx="0">
                  <c:v>رقم معاملات التصدير م.د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9463272476655323E-2"/>
                  <c:y val="-1.06135953470672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268484907033466E-2"/>
                  <c:y val="-1.5920393020599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89727950574169E-2"/>
                  <c:y val="-1.4159289404354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Mines!#REF!</c:f>
            </c:multiLvlStrRef>
          </c:cat>
          <c:val>
            <c:numRef>
              <c:f>Mines!$M$14:$O$14</c:f>
              <c:numCache>
                <c:formatCode>0</c:formatCode>
                <c:ptCount val="3"/>
                <c:pt idx="0">
                  <c:v>190.33156918500003</c:v>
                </c:pt>
                <c:pt idx="1">
                  <c:v>210.48049023679999</c:v>
                </c:pt>
                <c:pt idx="2">
                  <c:v>221.16365149999999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1"/>
        <c:axId val="84903936"/>
        <c:axId val="112869952"/>
      </c:barChart>
      <c:catAx>
        <c:axId val="849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2869952"/>
        <c:crosses val="autoZero"/>
        <c:auto val="1"/>
        <c:lblAlgn val="ctr"/>
        <c:lblOffset val="100"/>
        <c:noMultiLvlLbl val="0"/>
      </c:catAx>
      <c:valAx>
        <c:axId val="112869952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دينارا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156878922221E-2"/>
              <c:y val="2.15447628383762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3936"/>
        <c:crosses val="autoZero"/>
        <c:crossBetween val="between"/>
      </c:valAx>
      <c:spPr>
        <a:solidFill>
          <a:schemeClr val="tx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إنتاج مشتقات الفسفاط إلى موفى </a:t>
            </a:r>
            <a:r>
              <a:rPr lang="ar-TN" sz="1400" b="1" i="0" u="none" strike="noStrike" baseline="0"/>
              <a:t>فيفري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654485959133751"/>
          <c:y val="3.60914842334926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807231329645212E-2"/>
          <c:y val="0.14112674415702567"/>
          <c:w val="0.8725393808594889"/>
          <c:h val="0.67405534574170678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[1]فيفري!$AH$31:$AI$35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[1]فيفري!$AG$31:$AG$35</c:f>
              <c:numCache>
                <c:formatCode>General</c:formatCode>
                <c:ptCount val="5"/>
                <c:pt idx="0">
                  <c:v>209.762</c:v>
                </c:pt>
                <c:pt idx="1">
                  <c:v>130.309</c:v>
                </c:pt>
                <c:pt idx="2">
                  <c:v>228.4</c:v>
                </c:pt>
                <c:pt idx="3">
                  <c:v>13.49</c:v>
                </c:pt>
                <c:pt idx="4">
                  <c:v>23.675000000000001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[1]فيفري!$AF$31:$AF$35</c:f>
              <c:numCache>
                <c:formatCode>General</c:formatCode>
                <c:ptCount val="5"/>
                <c:pt idx="0">
                  <c:v>75.195999999999998</c:v>
                </c:pt>
                <c:pt idx="1">
                  <c:v>27.555</c:v>
                </c:pt>
                <c:pt idx="2">
                  <c:v>71.179000000000002</c:v>
                </c:pt>
                <c:pt idx="3">
                  <c:v>7.34</c:v>
                </c:pt>
                <c:pt idx="4">
                  <c:v>13.603999999999999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[1]فيفري!$AE$31:$AE$35</c:f>
              <c:numCache>
                <c:formatCode>General</c:formatCode>
                <c:ptCount val="5"/>
                <c:pt idx="0">
                  <c:v>99.301000000000002</c:v>
                </c:pt>
                <c:pt idx="1">
                  <c:v>90.72</c:v>
                </c:pt>
                <c:pt idx="2">
                  <c:v>87.093999999999994</c:v>
                </c:pt>
                <c:pt idx="3">
                  <c:v>8.82</c:v>
                </c:pt>
                <c:pt idx="4">
                  <c:v>19.928000000000001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4448"/>
        <c:axId val="112871680"/>
      </c:barChart>
      <c:catAx>
        <c:axId val="8490444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2871680"/>
        <c:crosses val="autoZero"/>
        <c:auto val="1"/>
        <c:lblAlgn val="ctr"/>
        <c:lblOffset val="100"/>
        <c:noMultiLvlLbl val="0"/>
      </c:catAx>
      <c:valAx>
        <c:axId val="112871680"/>
        <c:scaling>
          <c:orientation val="minMax"/>
          <c:max val="30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33518605860951"/>
              <c:y val="4.115960960836028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4448"/>
        <c:crosses val="autoZero"/>
        <c:crossBetween val="between"/>
        <c:majorUnit val="1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961010949809631"/>
          <c:y val="0.12365322786168059"/>
          <c:w val="0.33940398006458611"/>
          <c:h val="0.12723886094837139"/>
        </c:manualLayout>
      </c:layout>
      <c:overlay val="0"/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  <c:showDLblsOverMax val="0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</a:t>
            </a:r>
            <a:r>
              <a:rPr lang="ar-TN" sz="1400" b="1" i="0" u="none" strike="noStrike" baseline="0"/>
              <a:t>إلى موفى فيفري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071254272438224"/>
          <c:y val="5.33352943794740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8310276275313406E-2"/>
          <c:y val="0.17249057112464933"/>
          <c:w val="0.8606738124662171"/>
          <c:h val="0.64120112785956362"/>
        </c:manualLayout>
      </c:layout>
      <c:barChart>
        <c:barDir val="col"/>
        <c:grouping val="clustered"/>
        <c:varyColors val="0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[1]فيفري!$AG$45:$AG$49</c:f>
              <c:numCache>
                <c:formatCode>General</c:formatCode>
                <c:ptCount val="5"/>
                <c:pt idx="0">
                  <c:v>86.599000000000004</c:v>
                </c:pt>
                <c:pt idx="1">
                  <c:v>93.49</c:v>
                </c:pt>
                <c:pt idx="2">
                  <c:v>180.35400000000001</c:v>
                </c:pt>
                <c:pt idx="3">
                  <c:v>9.8350000000000009</c:v>
                </c:pt>
                <c:pt idx="4">
                  <c:v>19.675000000000001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[1]فيفري!$AF$45:$AF$49</c:f>
              <c:numCache>
                <c:formatCode>General</c:formatCode>
                <c:ptCount val="5"/>
                <c:pt idx="0">
                  <c:v>59.505000000000003</c:v>
                </c:pt>
                <c:pt idx="1">
                  <c:v>70.209999999999994</c:v>
                </c:pt>
                <c:pt idx="2">
                  <c:v>77.188000000000002</c:v>
                </c:pt>
                <c:pt idx="3">
                  <c:v>4</c:v>
                </c:pt>
                <c:pt idx="4">
                  <c:v>16.074999999999999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[1]فيفري!$AE$45:$AE$49</c:f>
              <c:numCache>
                <c:formatCode>General</c:formatCode>
                <c:ptCount val="5"/>
                <c:pt idx="0">
                  <c:v>25.620999999999999</c:v>
                </c:pt>
                <c:pt idx="1">
                  <c:v>113.03</c:v>
                </c:pt>
                <c:pt idx="2">
                  <c:v>91.254999999999995</c:v>
                </c:pt>
                <c:pt idx="3">
                  <c:v>5.0999999999999996</c:v>
                </c:pt>
                <c:pt idx="4">
                  <c:v>19.9282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4960"/>
        <c:axId val="112873984"/>
      </c:barChart>
      <c:catAx>
        <c:axId val="84904960"/>
        <c:scaling>
          <c:orientation val="maxMin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2873984"/>
        <c:crosses val="autoZero"/>
        <c:auto val="1"/>
        <c:lblAlgn val="ctr"/>
        <c:lblOffset val="100"/>
        <c:noMultiLvlLbl val="0"/>
      </c:catAx>
      <c:valAx>
        <c:axId val="112873984"/>
        <c:scaling>
          <c:orientation val="minMax"/>
          <c:max val="24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754884531588325"/>
              <c:y val="4.703498038214411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4960"/>
        <c:crosses val="autoZero"/>
        <c:crossBetween val="between"/>
        <c:majorUnit val="2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446168401085654"/>
          <c:y val="0.16612560500531218"/>
          <c:w val="0.33964117461710158"/>
          <c:h val="0.10843407885340769"/>
        </c:manualLayout>
      </c:layout>
      <c:overlay val="0"/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  <c:showDLblsOverMax val="0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</a:t>
            </a:r>
            <a:r>
              <a:rPr lang="ar-TN" sz="1400" b="1" i="0" u="none" strike="noStrike" baseline="0"/>
              <a:t>إلى موفى فيفري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18865717542883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220073756603212E-2"/>
          <c:y val="0.16559038400723977"/>
          <c:w val="0.87145380245190873"/>
          <c:h val="0.64959183487371208"/>
        </c:manualLayout>
      </c:layout>
      <c:barChart>
        <c:barDir val="col"/>
        <c:grouping val="clustered"/>
        <c:varyColors val="0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[1]فيفري!$AG$55:$AG$59</c:f>
              <c:numCache>
                <c:formatCode>General</c:formatCode>
                <c:ptCount val="5"/>
                <c:pt idx="0">
                  <c:v>18.292000000000002</c:v>
                </c:pt>
                <c:pt idx="1">
                  <c:v>2.496</c:v>
                </c:pt>
                <c:pt idx="2">
                  <c:v>7.2649999999999997</c:v>
                </c:pt>
                <c:pt idx="3">
                  <c:v>3.4870000000000001</c:v>
                </c:pt>
                <c:pt idx="4">
                  <c:v>0.89500000000000002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rgbClr val="9BBB59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[1]فيفري!$AF$55:$AF$59</c:f>
              <c:numCache>
                <c:formatCode>General</c:formatCode>
                <c:ptCount val="5"/>
                <c:pt idx="0">
                  <c:v>14.222</c:v>
                </c:pt>
                <c:pt idx="1">
                  <c:v>2.2360000000000002</c:v>
                </c:pt>
                <c:pt idx="2">
                  <c:v>5.2320000000000002</c:v>
                </c:pt>
                <c:pt idx="3">
                  <c:v>3.9329999999999998</c:v>
                </c:pt>
                <c:pt idx="4">
                  <c:v>0.67600000000000005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[1]فيفري!$AE$55:$AE$59</c:f>
              <c:numCache>
                <c:formatCode>General</c:formatCode>
                <c:ptCount val="5"/>
                <c:pt idx="0">
                  <c:v>21.928000000000001</c:v>
                </c:pt>
                <c:pt idx="1">
                  <c:v>0.48799999999999999</c:v>
                </c:pt>
                <c:pt idx="2">
                  <c:v>7.6</c:v>
                </c:pt>
                <c:pt idx="3">
                  <c:v>2.9940000000000002</c:v>
                </c:pt>
                <c:pt idx="4">
                  <c:v>0.52349999999999997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5472"/>
        <c:axId val="112876288"/>
      </c:barChart>
      <c:catAx>
        <c:axId val="84905472"/>
        <c:scaling>
          <c:orientation val="maxMin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2876288"/>
        <c:crosses val="autoZero"/>
        <c:auto val="1"/>
        <c:lblAlgn val="ctr"/>
        <c:lblOffset val="100"/>
        <c:noMultiLvlLbl val="0"/>
      </c:catAx>
      <c:valAx>
        <c:axId val="112876288"/>
        <c:scaling>
          <c:orientation val="minMax"/>
          <c:max val="24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40266841644456"/>
              <c:y val="4.37092240174874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490547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898694308781493"/>
          <c:y val="0.16925042462707449"/>
          <c:w val="0.34179075716801222"/>
          <c:h val="0.11958573483401029"/>
        </c:manualLayout>
      </c:layout>
      <c:overlay val="0"/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  <c:showDLblsOverMax val="0"/>
  </c:chart>
  <c:spPr>
    <a:solidFill>
      <a:srgbClr val="CCECFF"/>
    </a:solidFill>
    <a:ln w="19050">
      <a:solidFill>
        <a:schemeClr val="tx1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شراءات المواد الأوّلية </a:t>
            </a:r>
            <a:r>
              <a:rPr lang="ar-TN" sz="1400" b="1" i="0" u="none" strike="noStrike" baseline="0"/>
              <a:t>إلى موفى فيفري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3847466979942291"/>
          <c:y val="4.63765360640560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864934128398602E-2"/>
          <c:y val="0.24096671916010862"/>
          <c:w val="0.86457382934235927"/>
          <c:h val="0.56610712139191433"/>
        </c:manualLayout>
      </c:layout>
      <c:barChart>
        <c:barDir val="col"/>
        <c:grouping val="clustered"/>
        <c:varyColors val="0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[1]فيفري!$AG$63:$AG$64</c:f>
              <c:numCache>
                <c:formatCode>General</c:formatCode>
                <c:ptCount val="2"/>
                <c:pt idx="0">
                  <c:v>8.203668480000001</c:v>
                </c:pt>
                <c:pt idx="1">
                  <c:v>31.575666609999999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[1]فيفري!$AF$63:$AF$64</c:f>
              <c:numCache>
                <c:formatCode>General</c:formatCode>
                <c:ptCount val="2"/>
                <c:pt idx="0">
                  <c:v>26.8968852</c:v>
                </c:pt>
                <c:pt idx="1">
                  <c:v>10.336784220000002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[1]فيفري!$AH$63:$AI$64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[1]فيفري!$AE$63:$AE$64</c:f>
              <c:numCache>
                <c:formatCode>General</c:formatCode>
                <c:ptCount val="2"/>
                <c:pt idx="0">
                  <c:v>2.771992784</c:v>
                </c:pt>
                <c:pt idx="1">
                  <c:v>20.78895635108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6064256"/>
        <c:axId val="116008064"/>
      </c:barChart>
      <c:catAx>
        <c:axId val="116064256"/>
        <c:scaling>
          <c:orientation val="maxMin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16008064"/>
        <c:crosses val="autoZero"/>
        <c:auto val="1"/>
        <c:lblAlgn val="ctr"/>
        <c:lblOffset val="100"/>
        <c:noMultiLvlLbl val="0"/>
      </c:catAx>
      <c:valAx>
        <c:axId val="116008064"/>
        <c:scaling>
          <c:orientation val="minMax"/>
          <c:max val="4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4765742755034656"/>
              <c:y val="5.82960175068597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16064256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932522433096791"/>
          <c:y val="0.1978106219272239"/>
          <c:w val="0.34396790636826186"/>
          <c:h val="0.18153038104774463"/>
        </c:manualLayout>
      </c:layout>
      <c:overlay val="0"/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  <c:showDLblsOverMax val="0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رقمي</a:t>
            </a:r>
            <a:r>
              <a:rPr lang="ar-TN" sz="1400" baseline="0">
                <a:cs typeface="Traditional Arabic" pitchFamily="2" charset="-78"/>
              </a:rPr>
              <a:t> المعاملات إلى موفى فيفري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2396288254531307"/>
          <c:y val="3.28875648149564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570499027121481E-2"/>
          <c:y val="0.14646502748425846"/>
          <c:w val="0.86517094903130776"/>
          <c:h val="0.7238316909542547"/>
        </c:manualLayout>
      </c:layout>
      <c:barChart>
        <c:barDir val="col"/>
        <c:grouping val="clustered"/>
        <c:varyColors val="0"/>
        <c:ser>
          <c:idx val="2"/>
          <c:order val="0"/>
          <c:tx>
            <c:v>الإجمالي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[1]فيفري!$AE$15:$AG$15</c:f>
              <c:strCache>
                <c:ptCount val="3"/>
                <c:pt idx="0">
                  <c:v>2014 وقتي</c:v>
                </c:pt>
                <c:pt idx="1">
                  <c:v>2013 وقتي</c:v>
                </c:pt>
                <c:pt idx="2">
                  <c:v>2010</c:v>
                </c:pt>
              </c:strCache>
            </c:strRef>
          </c:cat>
          <c:val>
            <c:numRef>
              <c:f>[1]فيفري!$AE$22:$AG$22</c:f>
              <c:numCache>
                <c:formatCode>General</c:formatCode>
                <c:ptCount val="3"/>
                <c:pt idx="0">
                  <c:v>156.045479</c:v>
                </c:pt>
                <c:pt idx="1">
                  <c:v>162.82452599999999</c:v>
                </c:pt>
                <c:pt idx="2">
                  <c:v>193.75900000000001</c:v>
                </c:pt>
              </c:numCache>
            </c:numRef>
          </c:val>
        </c:ser>
        <c:ser>
          <c:idx val="0"/>
          <c:order val="1"/>
          <c:tx>
            <c:v>التصدير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[1]فيفري!$AE$15:$AG$15</c:f>
              <c:strCache>
                <c:ptCount val="3"/>
                <c:pt idx="0">
                  <c:v>2014 وقتي</c:v>
                </c:pt>
                <c:pt idx="1">
                  <c:v>2013 وقتي</c:v>
                </c:pt>
                <c:pt idx="2">
                  <c:v>2010</c:v>
                </c:pt>
              </c:strCache>
            </c:strRef>
          </c:cat>
          <c:val>
            <c:numRef>
              <c:f>[1]فيفري!$AE$23:$AG$23</c:f>
              <c:numCache>
                <c:formatCode>General</c:formatCode>
                <c:ptCount val="3"/>
                <c:pt idx="0">
                  <c:v>118.32861000000001</c:v>
                </c:pt>
                <c:pt idx="1">
                  <c:v>135.200726</c:v>
                </c:pt>
                <c:pt idx="2">
                  <c:v>166.85300000000001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1"/>
        <c:axId val="81439232"/>
        <c:axId val="116010368"/>
      </c:barChart>
      <c:catAx>
        <c:axId val="814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6010368"/>
        <c:crosses val="autoZero"/>
        <c:auto val="1"/>
        <c:lblAlgn val="ctr"/>
        <c:lblOffset val="100"/>
        <c:noMultiLvlLbl val="0"/>
      </c:catAx>
      <c:valAx>
        <c:axId val="116010368"/>
        <c:scaling>
          <c:orientation val="minMax"/>
          <c:max val="22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225892170703E-2"/>
              <c:y val="4.695681193750743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81439232"/>
        <c:crosses val="autoZero"/>
        <c:crossBetween val="between"/>
        <c:majorUnit val="25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5258453953806473"/>
          <c:y val="0.15797759189419547"/>
          <c:w val="0.29892395700476726"/>
          <c:h val="8.5347099685894226E-2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solidFill>
      <a:srgbClr val="CCECFF"/>
    </a:solidFill>
    <a:ln w="19050">
      <a:solidFill>
        <a:schemeClr val="tx1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16</xdr:row>
      <xdr:rowOff>416719</xdr:rowOff>
    </xdr:from>
    <xdr:to>
      <xdr:col>9</xdr:col>
      <xdr:colOff>447675</xdr:colOff>
      <xdr:row>26</xdr:row>
      <xdr:rowOff>0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114300</xdr:rowOff>
    </xdr:from>
    <xdr:to>
      <xdr:col>8</xdr:col>
      <xdr:colOff>571498</xdr:colOff>
      <xdr:row>40</xdr:row>
      <xdr:rowOff>238125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273844</xdr:rowOff>
    </xdr:from>
    <xdr:to>
      <xdr:col>8</xdr:col>
      <xdr:colOff>247650</xdr:colOff>
      <xdr:row>49</xdr:row>
      <xdr:rowOff>190500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83344</xdr:colOff>
      <xdr:row>3</xdr:row>
      <xdr:rowOff>388142</xdr:rowOff>
    </xdr:from>
    <xdr:to>
      <xdr:col>9</xdr:col>
      <xdr:colOff>59531</xdr:colOff>
      <xdr:row>15</xdr:row>
      <xdr:rowOff>142874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42333</xdr:colOff>
      <xdr:row>16</xdr:row>
      <xdr:rowOff>416719</xdr:rowOff>
    </xdr:from>
    <xdr:to>
      <xdr:col>23</xdr:col>
      <xdr:colOff>21166</xdr:colOff>
      <xdr:row>26</xdr:row>
      <xdr:rowOff>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95251</xdr:colOff>
      <xdr:row>30</xdr:row>
      <xdr:rowOff>419101</xdr:rowOff>
    </xdr:from>
    <xdr:to>
      <xdr:col>23</xdr:col>
      <xdr:colOff>71438</xdr:colOff>
      <xdr:row>39</xdr:row>
      <xdr:rowOff>190500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119062</xdr:colOff>
      <xdr:row>41</xdr:row>
      <xdr:rowOff>121444</xdr:rowOff>
    </xdr:from>
    <xdr:to>
      <xdr:col>23</xdr:col>
      <xdr:colOff>71437</xdr:colOff>
      <xdr:row>50</xdr:row>
      <xdr:rowOff>123825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150019</xdr:colOff>
      <xdr:row>51</xdr:row>
      <xdr:rowOff>152401</xdr:rowOff>
    </xdr:from>
    <xdr:to>
      <xdr:col>23</xdr:col>
      <xdr:colOff>78580</xdr:colOff>
      <xdr:row>56</xdr:row>
      <xdr:rowOff>152400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54769</xdr:colOff>
      <xdr:row>3</xdr:row>
      <xdr:rowOff>254794</xdr:rowOff>
    </xdr:from>
    <xdr:to>
      <xdr:col>23</xdr:col>
      <xdr:colOff>30956</xdr:colOff>
      <xdr:row>14</xdr:row>
      <xdr:rowOff>202406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95249</xdr:rowOff>
    </xdr:from>
    <xdr:to>
      <xdr:col>6</xdr:col>
      <xdr:colOff>885825</xdr:colOff>
      <xdr:row>26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14</xdr:row>
      <xdr:rowOff>85724</xdr:rowOff>
    </xdr:from>
    <xdr:to>
      <xdr:col>6</xdr:col>
      <xdr:colOff>819150</xdr:colOff>
      <xdr:row>27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161926</xdr:colOff>
      <xdr:row>14</xdr:row>
      <xdr:rowOff>123825</xdr:rowOff>
    </xdr:from>
    <xdr:to>
      <xdr:col>6</xdr:col>
      <xdr:colOff>676275</xdr:colOff>
      <xdr:row>16</xdr:row>
      <xdr:rowOff>47625</xdr:rowOff>
    </xdr:to>
    <xdr:sp macro="" textlink="">
      <xdr:nvSpPr>
        <xdr:cNvPr id="3" name="ZoneTexte 2"/>
        <xdr:cNvSpPr txBox="1"/>
      </xdr:nvSpPr>
      <xdr:spPr>
        <a:xfrm>
          <a:off x="161926" y="3486150"/>
          <a:ext cx="8162924" cy="304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Production</a:t>
          </a:r>
          <a:r>
            <a:rPr lang="fr-FR" sz="1100" baseline="0"/>
            <a:t> dérivés de </a:t>
          </a:r>
          <a:r>
            <a:rPr lang="fr-FR" sz="1100" b="0" baseline="0"/>
            <a:t>phosphates</a:t>
          </a:r>
          <a:r>
            <a:rPr lang="fr-FR" sz="1100" baseline="0"/>
            <a:t> (mille tonnes)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15</xdr:row>
      <xdr:rowOff>47625</xdr:rowOff>
    </xdr:from>
    <xdr:to>
      <xdr:col>7</xdr:col>
      <xdr:colOff>333374</xdr:colOff>
      <xdr:row>28</xdr:row>
      <xdr:rowOff>66676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0.08379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6912573" cy="2090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Exportations (mille tonnes)</a:t>
          </a:r>
          <a:endParaRPr lang="fr-F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16</xdr:row>
      <xdr:rowOff>28575</xdr:rowOff>
    </xdr:from>
    <xdr:to>
      <xdr:col>8</xdr:col>
      <xdr:colOff>9525</xdr:colOff>
      <xdr:row>28</xdr:row>
      <xdr:rowOff>152400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0.12121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5143500" cy="2920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Ventes locales (mille tonnes)</a:t>
          </a:r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ila%20fadhlaoui/Desktop/CONJ-Fev-2014/Fevri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يفري"/>
    </sheetNames>
    <sheetDataSet>
      <sheetData sheetId="0">
        <row r="15">
          <cell r="AE15" t="str">
            <v>2014 وقتي</v>
          </cell>
          <cell r="AF15" t="str">
            <v>2013 وقتي</v>
          </cell>
          <cell r="AG15">
            <v>2010</v>
          </cell>
        </row>
        <row r="22">
          <cell r="AE22">
            <v>156.045479</v>
          </cell>
          <cell r="AF22">
            <v>162.82452599999999</v>
          </cell>
          <cell r="AG22">
            <v>193.75900000000001</v>
          </cell>
        </row>
        <row r="23">
          <cell r="AE23">
            <v>118.32861000000001</v>
          </cell>
          <cell r="AF23">
            <v>135.200726</v>
          </cell>
          <cell r="AG23">
            <v>166.85300000000001</v>
          </cell>
        </row>
        <row r="31">
          <cell r="AE31">
            <v>99.301000000000002</v>
          </cell>
          <cell r="AF31">
            <v>75.195999999999998</v>
          </cell>
          <cell r="AG31">
            <v>209.762</v>
          </cell>
          <cell r="AH31" t="str">
            <v>الحامض الفسفوري 54%</v>
          </cell>
        </row>
        <row r="32">
          <cell r="AE32">
            <v>90.72</v>
          </cell>
          <cell r="AF32">
            <v>27.555</v>
          </cell>
          <cell r="AG32">
            <v>130.309</v>
          </cell>
          <cell r="AH32" t="str">
            <v>ثلاثي الفسفاط الرفيع</v>
          </cell>
        </row>
        <row r="33">
          <cell r="AE33">
            <v>87.093999999999994</v>
          </cell>
          <cell r="AF33">
            <v>71.179000000000002</v>
          </cell>
          <cell r="AG33">
            <v>228.4</v>
          </cell>
          <cell r="AH33" t="str">
            <v xml:space="preserve">أحادي + ثاني فسفاط الأمونيا </v>
          </cell>
        </row>
        <row r="34">
          <cell r="AE34">
            <v>8.82</v>
          </cell>
          <cell r="AF34">
            <v>7.34</v>
          </cell>
          <cell r="AG34">
            <v>13.49</v>
          </cell>
          <cell r="AH34" t="str">
            <v>ثاني فسفاط الكلس</v>
          </cell>
        </row>
        <row r="35">
          <cell r="AE35">
            <v>19.928000000000001</v>
          </cell>
          <cell r="AF35">
            <v>13.603999999999999</v>
          </cell>
          <cell r="AG35">
            <v>23.675000000000001</v>
          </cell>
          <cell r="AH35" t="str">
            <v xml:space="preserve">فسفاط الصوديوم </v>
          </cell>
        </row>
        <row r="45">
          <cell r="AE45">
            <v>25.620999999999999</v>
          </cell>
          <cell r="AF45">
            <v>59.505000000000003</v>
          </cell>
          <cell r="AG45">
            <v>86.599000000000004</v>
          </cell>
          <cell r="AH45" t="str">
            <v>الحامض الفسفوري 54%</v>
          </cell>
        </row>
        <row r="46">
          <cell r="AE46">
            <v>113.03</v>
          </cell>
          <cell r="AF46">
            <v>70.209999999999994</v>
          </cell>
          <cell r="AG46">
            <v>93.49</v>
          </cell>
          <cell r="AH46" t="str">
            <v>ثلاثي الفسفاط الرفيع</v>
          </cell>
        </row>
        <row r="47">
          <cell r="AE47">
            <v>91.254999999999995</v>
          </cell>
          <cell r="AF47">
            <v>77.188000000000002</v>
          </cell>
          <cell r="AG47">
            <v>180.35400000000001</v>
          </cell>
          <cell r="AH47" t="str">
            <v xml:space="preserve">أحادي + ثاني فسفاط الأمونيا </v>
          </cell>
        </row>
        <row r="48">
          <cell r="AE48">
            <v>5.0999999999999996</v>
          </cell>
          <cell r="AF48">
            <v>4</v>
          </cell>
          <cell r="AG48">
            <v>9.8350000000000009</v>
          </cell>
          <cell r="AH48" t="str">
            <v>ثاني فسفاط الكلس</v>
          </cell>
        </row>
        <row r="49">
          <cell r="AE49">
            <v>19.9282</v>
          </cell>
          <cell r="AF49">
            <v>16.074999999999999</v>
          </cell>
          <cell r="AG49">
            <v>19.675000000000001</v>
          </cell>
          <cell r="AH49" t="str">
            <v>فسفاط الصوديوم</v>
          </cell>
        </row>
        <row r="55">
          <cell r="AE55">
            <v>21.928000000000001</v>
          </cell>
          <cell r="AF55">
            <v>14.222</v>
          </cell>
          <cell r="AG55">
            <v>18.292000000000002</v>
          </cell>
          <cell r="AH55" t="str">
            <v>الحامض الفسفوري 54%</v>
          </cell>
        </row>
        <row r="56">
          <cell r="AE56">
            <v>0.48799999999999999</v>
          </cell>
          <cell r="AF56">
            <v>2.2360000000000002</v>
          </cell>
          <cell r="AG56">
            <v>2.496</v>
          </cell>
          <cell r="AH56" t="str">
            <v>ثلاثي الفسفاط الرفيع</v>
          </cell>
        </row>
        <row r="57">
          <cell r="AE57">
            <v>7.6</v>
          </cell>
          <cell r="AF57">
            <v>5.2320000000000002</v>
          </cell>
          <cell r="AG57">
            <v>7.2649999999999997</v>
          </cell>
          <cell r="AH57" t="str">
            <v xml:space="preserve">أحادي + ثاني فسفاط الأمونيا </v>
          </cell>
        </row>
        <row r="58">
          <cell r="AE58">
            <v>2.9940000000000002</v>
          </cell>
          <cell r="AF58">
            <v>3.9329999999999998</v>
          </cell>
          <cell r="AG58">
            <v>3.4870000000000001</v>
          </cell>
          <cell r="AH58" t="str">
            <v>ثاني فسفاط الكلس</v>
          </cell>
        </row>
        <row r="59">
          <cell r="AE59">
            <v>0.52349999999999997</v>
          </cell>
          <cell r="AF59">
            <v>0.67600000000000005</v>
          </cell>
          <cell r="AG59">
            <v>0.89500000000000002</v>
          </cell>
          <cell r="AH59" t="str">
            <v xml:space="preserve">فسفاط الصوديوم </v>
          </cell>
        </row>
        <row r="63">
          <cell r="AE63">
            <v>2.771992784</v>
          </cell>
          <cell r="AF63">
            <v>26.8968852</v>
          </cell>
          <cell r="AG63">
            <v>8.203668480000001</v>
          </cell>
          <cell r="AH63" t="str">
            <v>الكبريت</v>
          </cell>
        </row>
        <row r="64">
          <cell r="AE64">
            <v>20.78895635108</v>
          </cell>
          <cell r="AF64">
            <v>10.336784220000002</v>
          </cell>
          <cell r="AG64">
            <v>31.575666609999999</v>
          </cell>
          <cell r="AH64" t="str">
            <v>الأمونيا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AL58"/>
  <sheetViews>
    <sheetView topLeftCell="F31" workbookViewId="0">
      <selection activeCell="K44" sqref="K44:Q53"/>
    </sheetView>
  </sheetViews>
  <sheetFormatPr baseColWidth="10" defaultRowHeight="15" x14ac:dyDescent="0.25"/>
  <cols>
    <col min="1" max="1" width="3.7109375" customWidth="1"/>
    <col min="2" max="2" width="3.28515625" customWidth="1"/>
    <col min="3" max="9" width="8.5703125" customWidth="1"/>
    <col min="10" max="10" width="7.5703125" customWidth="1"/>
    <col min="11" max="15" width="12.5703125" customWidth="1"/>
    <col min="17" max="17" width="24.28515625" customWidth="1"/>
    <col min="18" max="20" width="16.42578125" customWidth="1"/>
    <col min="21" max="21" width="15.7109375" customWidth="1"/>
    <col min="24" max="24" width="18.28515625" customWidth="1"/>
    <col min="27" max="27" width="20" customWidth="1"/>
    <col min="28" max="30" width="18.28515625" customWidth="1"/>
    <col min="31" max="31" width="14.42578125" customWidth="1"/>
    <col min="34" max="34" width="20.85546875" customWidth="1"/>
  </cols>
  <sheetData>
    <row r="1" spans="3:38" ht="44.25" x14ac:dyDescent="0.25">
      <c r="C1" s="336" t="s">
        <v>16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  <c r="R1" s="7"/>
      <c r="S1" s="336" t="s">
        <v>16</v>
      </c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8"/>
    </row>
    <row r="2" spans="3:38" ht="33" x14ac:dyDescent="0.8"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S2" s="339" t="s">
        <v>70</v>
      </c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</row>
    <row r="3" spans="3:38" ht="52.5" customHeight="1" x14ac:dyDescent="0.25"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S3" s="340" t="s">
        <v>41</v>
      </c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</row>
    <row r="4" spans="3:38" ht="20.25" customHeight="1" thickBot="1" x14ac:dyDescent="0.3">
      <c r="C4" s="10"/>
      <c r="D4" s="10"/>
      <c r="E4" s="10"/>
      <c r="F4" s="10"/>
      <c r="G4" s="10"/>
      <c r="H4" s="10"/>
      <c r="I4" s="10"/>
      <c r="J4" s="11"/>
      <c r="K4" s="12"/>
      <c r="L4" s="12"/>
      <c r="M4" s="319"/>
      <c r="N4" s="319"/>
      <c r="O4" s="319"/>
      <c r="P4" s="319"/>
      <c r="Q4" s="319"/>
      <c r="S4" s="10"/>
      <c r="T4" s="10"/>
      <c r="U4" s="10"/>
      <c r="V4" s="10"/>
      <c r="W4" s="10"/>
      <c r="X4" s="11"/>
      <c r="Y4" s="11"/>
      <c r="Z4" s="292" t="s">
        <v>42</v>
      </c>
      <c r="AA4" s="292"/>
      <c r="AB4" s="292" t="s">
        <v>42</v>
      </c>
      <c r="AC4" s="292"/>
      <c r="AD4" s="335" t="s">
        <v>43</v>
      </c>
      <c r="AE4" s="335"/>
      <c r="AF4" s="335"/>
      <c r="AG4" s="335"/>
      <c r="AH4" s="335"/>
    </row>
    <row r="5" spans="3:38" ht="19.5" customHeight="1" thickBot="1" x14ac:dyDescent="0.3">
      <c r="C5" s="10"/>
      <c r="D5" s="10"/>
      <c r="E5" s="10"/>
      <c r="F5" s="10"/>
      <c r="G5" s="10"/>
      <c r="H5" s="10"/>
      <c r="I5" s="10"/>
      <c r="J5" s="11"/>
      <c r="K5" s="333" t="s">
        <v>26</v>
      </c>
      <c r="L5" s="334"/>
      <c r="M5" s="344" t="s">
        <v>73</v>
      </c>
      <c r="N5" s="345"/>
      <c r="O5" s="346"/>
      <c r="P5" s="301" t="s">
        <v>17</v>
      </c>
      <c r="Q5" s="302"/>
      <c r="S5" s="10"/>
      <c r="T5" s="10"/>
      <c r="U5" s="10"/>
      <c r="V5" s="10"/>
      <c r="W5" s="10"/>
      <c r="X5" s="11"/>
      <c r="Y5" s="348" t="s">
        <v>44</v>
      </c>
      <c r="Z5" s="349"/>
      <c r="AA5" s="350"/>
      <c r="AB5" s="351" t="s">
        <v>45</v>
      </c>
      <c r="AC5" s="352"/>
      <c r="AD5" s="353" t="s">
        <v>71</v>
      </c>
      <c r="AE5" s="354"/>
      <c r="AF5" s="355"/>
      <c r="AG5" s="358"/>
      <c r="AH5" s="358"/>
      <c r="AI5" s="197"/>
      <c r="AJ5" s="197"/>
    </row>
    <row r="6" spans="3:38" ht="20.25" customHeight="1" thickBot="1" x14ac:dyDescent="0.3">
      <c r="C6" s="10"/>
      <c r="D6" s="10"/>
      <c r="E6" s="10"/>
      <c r="F6" s="10"/>
      <c r="G6" s="10"/>
      <c r="H6" s="10"/>
      <c r="I6" s="10"/>
      <c r="J6" s="11"/>
      <c r="K6" s="13" t="s">
        <v>66</v>
      </c>
      <c r="L6" s="14" t="s">
        <v>67</v>
      </c>
      <c r="M6" s="195">
        <v>2014</v>
      </c>
      <c r="N6" s="196">
        <v>2013</v>
      </c>
      <c r="O6" s="196">
        <v>2010</v>
      </c>
      <c r="P6" s="303"/>
      <c r="Q6" s="304"/>
      <c r="S6" s="10"/>
      <c r="T6" s="10"/>
      <c r="U6" s="10"/>
      <c r="V6" s="10"/>
      <c r="W6" s="10"/>
      <c r="X6" s="11"/>
      <c r="Y6" s="97" t="s">
        <v>47</v>
      </c>
      <c r="Z6" s="98" t="s">
        <v>48</v>
      </c>
      <c r="AA6" s="99" t="s">
        <v>49</v>
      </c>
      <c r="AB6" s="100" t="s">
        <v>50</v>
      </c>
      <c r="AC6" s="101" t="s">
        <v>51</v>
      </c>
      <c r="AD6" s="102" t="s">
        <v>52</v>
      </c>
      <c r="AE6" s="98" t="s">
        <v>48</v>
      </c>
      <c r="AF6" s="103">
        <v>2010</v>
      </c>
      <c r="AG6" s="358"/>
      <c r="AH6" s="358"/>
      <c r="AI6" s="197"/>
      <c r="AJ6" s="197"/>
    </row>
    <row r="7" spans="3:38" ht="18.75" x14ac:dyDescent="0.25">
      <c r="C7" s="10"/>
      <c r="D7" s="10"/>
      <c r="E7" s="10"/>
      <c r="F7" s="10"/>
      <c r="G7" s="10"/>
      <c r="H7" s="10"/>
      <c r="I7" s="10"/>
      <c r="J7" s="11"/>
      <c r="K7" s="54">
        <v>-0.44747990983217723</v>
      </c>
      <c r="L7" s="66">
        <v>-0.31798272838366948</v>
      </c>
      <c r="M7" s="35">
        <v>75.477023984499994</v>
      </c>
      <c r="N7" s="35">
        <v>136.60503088959999</v>
      </c>
      <c r="O7" s="36">
        <v>110.66732049999999</v>
      </c>
      <c r="P7" s="342" t="s">
        <v>18</v>
      </c>
      <c r="Q7" s="342"/>
      <c r="S7" s="10"/>
      <c r="T7" s="10"/>
      <c r="U7" s="10"/>
      <c r="V7" s="10"/>
      <c r="W7" s="10"/>
      <c r="X7" s="11"/>
      <c r="Y7" s="198">
        <v>433.8</v>
      </c>
      <c r="Z7" s="199">
        <f>SUM(Z8:Z9)</f>
        <v>292.24299999999999</v>
      </c>
      <c r="AA7" s="200">
        <v>549.36599999999999</v>
      </c>
      <c r="AB7" s="201">
        <f>(AD7-AE7)*100/AE7</f>
        <v>-46.523887076576536</v>
      </c>
      <c r="AC7" s="202">
        <f t="shared" ref="AC7:AC15" si="0">(AD7-AF7)*100/AF7</f>
        <v>-43.797706339605469</v>
      </c>
      <c r="AD7" s="203">
        <v>46.923856999999998</v>
      </c>
      <c r="AE7" s="204">
        <v>87.747321999999997</v>
      </c>
      <c r="AF7" s="204">
        <v>83.491</v>
      </c>
      <c r="AG7" s="371" t="s">
        <v>18</v>
      </c>
      <c r="AH7" s="371"/>
      <c r="AI7" s="197"/>
      <c r="AJ7" s="197"/>
    </row>
    <row r="8" spans="3:38" ht="18.75" x14ac:dyDescent="0.25">
      <c r="C8" s="10"/>
      <c r="D8" s="10"/>
      <c r="E8" s="10"/>
      <c r="F8" s="10"/>
      <c r="G8" s="10"/>
      <c r="H8" s="10"/>
      <c r="I8" s="10"/>
      <c r="J8" s="11"/>
      <c r="K8" s="188">
        <v>2.4831226449479247</v>
      </c>
      <c r="L8" s="55">
        <v>-0.69850960304690002</v>
      </c>
      <c r="M8" s="39">
        <v>2.3605879535000001</v>
      </c>
      <c r="N8" s="39">
        <v>0.67772174399999996</v>
      </c>
      <c r="O8" s="40">
        <v>7.8297284999999999</v>
      </c>
      <c r="P8" s="311" t="s">
        <v>19</v>
      </c>
      <c r="Q8" s="311"/>
      <c r="S8" s="10"/>
      <c r="T8" s="10"/>
      <c r="U8" s="10"/>
      <c r="V8" s="10"/>
      <c r="W8" s="10"/>
      <c r="X8" s="11"/>
      <c r="Y8" s="104">
        <v>9</v>
      </c>
      <c r="Z8" s="105">
        <v>3.4</v>
      </c>
      <c r="AA8" s="106">
        <v>12.805999999999999</v>
      </c>
      <c r="AB8" s="114" t="s">
        <v>72</v>
      </c>
      <c r="AC8" s="108">
        <f t="shared" si="0"/>
        <v>-75.15539190790588</v>
      </c>
      <c r="AD8" s="109">
        <v>1.467571</v>
      </c>
      <c r="AE8" s="109">
        <v>0.43532999999999999</v>
      </c>
      <c r="AF8" s="110">
        <v>5.907</v>
      </c>
      <c r="AG8" s="372" t="s">
        <v>19</v>
      </c>
      <c r="AH8" s="372"/>
      <c r="AI8" s="197"/>
      <c r="AJ8" s="197"/>
    </row>
    <row r="9" spans="3:38" ht="19.5" thickBot="1" x14ac:dyDescent="0.3">
      <c r="C9" s="10"/>
      <c r="D9" s="10"/>
      <c r="E9" s="10"/>
      <c r="F9" s="10"/>
      <c r="G9" s="10"/>
      <c r="H9" s="10"/>
      <c r="I9" s="10"/>
      <c r="J9" s="11"/>
      <c r="K9" s="188">
        <v>-0.46209163934319808</v>
      </c>
      <c r="L9" s="55">
        <v>-0.28901061752787827</v>
      </c>
      <c r="M9" s="37">
        <v>73.116436031000006</v>
      </c>
      <c r="N9" s="37">
        <v>135.92730914559999</v>
      </c>
      <c r="O9" s="38">
        <v>102.837592</v>
      </c>
      <c r="P9" s="312" t="s">
        <v>34</v>
      </c>
      <c r="Q9" s="312"/>
      <c r="S9" s="10"/>
      <c r="T9" s="10"/>
      <c r="U9" s="10"/>
      <c r="V9" s="10"/>
      <c r="W9" s="10"/>
      <c r="X9" s="11"/>
      <c r="Y9" s="111">
        <f>Y7-Y8</f>
        <v>424.8</v>
      </c>
      <c r="Z9" s="112">
        <v>288.84300000000002</v>
      </c>
      <c r="AA9" s="113">
        <f>AA7-AA8</f>
        <v>536.55999999999995</v>
      </c>
      <c r="AB9" s="114">
        <f t="shared" ref="AB9:AB15" si="1">(AD9-AE9)*100/AE9</f>
        <v>-47.938095376406032</v>
      </c>
      <c r="AC9" s="115">
        <f t="shared" si="0"/>
        <v>-41.41023149102908</v>
      </c>
      <c r="AD9" s="116">
        <f>AD7-AD8</f>
        <v>45.456285999999999</v>
      </c>
      <c r="AE9" s="116">
        <f>AE7-AE8</f>
        <v>87.311992000000004</v>
      </c>
      <c r="AF9" s="117">
        <f>AF7-AF8</f>
        <v>77.584000000000003</v>
      </c>
      <c r="AG9" s="373" t="s">
        <v>20</v>
      </c>
      <c r="AH9" s="373"/>
      <c r="AI9" s="197"/>
      <c r="AJ9" s="197"/>
    </row>
    <row r="10" spans="3:38" ht="18.75" x14ac:dyDescent="0.25">
      <c r="C10" s="10"/>
      <c r="D10" s="10"/>
      <c r="E10" s="10"/>
      <c r="F10" s="10"/>
      <c r="G10" s="10"/>
      <c r="H10" s="10"/>
      <c r="I10" s="10"/>
      <c r="J10" s="11"/>
      <c r="K10" s="176">
        <v>-1.6490552334531006E-2</v>
      </c>
      <c r="L10" s="66">
        <v>-1.4428277859741545E-3</v>
      </c>
      <c r="M10" s="35">
        <v>248.63856501800001</v>
      </c>
      <c r="N10" s="35">
        <v>252.8075003328</v>
      </c>
      <c r="O10" s="36">
        <v>248.99782599999998</v>
      </c>
      <c r="P10" s="313" t="s">
        <v>5</v>
      </c>
      <c r="Q10" s="314"/>
      <c r="S10" s="10"/>
      <c r="T10" s="10"/>
      <c r="U10" s="10"/>
      <c r="V10" s="10"/>
      <c r="W10" s="10"/>
      <c r="X10" s="11"/>
      <c r="Y10" s="205">
        <v>1110</v>
      </c>
      <c r="Z10" s="206">
        <f>SUM(Z11:Z12)</f>
        <v>1070</v>
      </c>
      <c r="AA10" s="200">
        <f>1845/AA15</f>
        <v>1181.3292354975029</v>
      </c>
      <c r="AB10" s="207">
        <f t="shared" si="1"/>
        <v>-4.8102264143237647</v>
      </c>
      <c r="AC10" s="208">
        <f t="shared" si="0"/>
        <v>-17.712929327342799</v>
      </c>
      <c r="AD10" s="208">
        <v>154.57790800000001</v>
      </c>
      <c r="AE10" s="209">
        <v>162.389196</v>
      </c>
      <c r="AF10" s="209">
        <v>187.852</v>
      </c>
      <c r="AG10" s="356" t="s">
        <v>5</v>
      </c>
      <c r="AH10" s="356"/>
      <c r="AI10" s="197"/>
      <c r="AJ10" s="197"/>
    </row>
    <row r="11" spans="3:38" ht="21" x14ac:dyDescent="0.25">
      <c r="C11" s="10"/>
      <c r="D11" s="10"/>
      <c r="E11" s="10"/>
      <c r="F11" s="10"/>
      <c r="G11" s="10"/>
      <c r="H11" s="10"/>
      <c r="I11" s="10"/>
      <c r="J11" s="11"/>
      <c r="K11" s="182">
        <v>-0.10405862333532168</v>
      </c>
      <c r="L11" s="55">
        <v>-0.11888846092470706</v>
      </c>
      <c r="M11" s="95">
        <v>187.97098123150002</v>
      </c>
      <c r="N11" s="95">
        <v>209.8027684928</v>
      </c>
      <c r="O11" s="96">
        <v>213.33392299999997</v>
      </c>
      <c r="P11" s="317" t="s">
        <v>33</v>
      </c>
      <c r="Q11" s="318"/>
      <c r="S11" s="10"/>
      <c r="T11" s="10"/>
      <c r="U11" s="10"/>
      <c r="V11" s="10"/>
      <c r="W11" s="10"/>
      <c r="X11" s="11"/>
      <c r="Y11" s="118">
        <v>1006</v>
      </c>
      <c r="Z11" s="105">
        <v>910</v>
      </c>
      <c r="AA11" s="106">
        <f>1577/AA15</f>
        <v>1009.7323600973235</v>
      </c>
      <c r="AB11" s="107">
        <f t="shared" si="1"/>
        <v>-13.285574436333793</v>
      </c>
      <c r="AC11" s="108">
        <f t="shared" si="0"/>
        <v>-27.391150447976337</v>
      </c>
      <c r="AD11" s="109">
        <v>116.86103900000001</v>
      </c>
      <c r="AE11" s="109">
        <v>134.76539600000001</v>
      </c>
      <c r="AF11" s="110">
        <v>160.946</v>
      </c>
      <c r="AG11" s="372" t="s">
        <v>19</v>
      </c>
      <c r="AH11" s="372"/>
      <c r="AI11" s="197"/>
      <c r="AJ11" s="197"/>
    </row>
    <row r="12" spans="3:38" ht="19.5" thickBot="1" x14ac:dyDescent="0.3">
      <c r="C12" s="10"/>
      <c r="D12" s="10"/>
      <c r="E12" s="10"/>
      <c r="F12" s="10"/>
      <c r="G12" s="10"/>
      <c r="H12" s="10"/>
      <c r="I12" s="10"/>
      <c r="J12" s="11"/>
      <c r="K12" s="182">
        <v>0.410718802112638</v>
      </c>
      <c r="L12" s="55">
        <v>0.70109210387040344</v>
      </c>
      <c r="M12" s="37">
        <v>60.667583786500003</v>
      </c>
      <c r="N12" s="37">
        <v>43.004731839999984</v>
      </c>
      <c r="O12" s="38">
        <v>35.663903000000005</v>
      </c>
      <c r="P12" s="315" t="s">
        <v>20</v>
      </c>
      <c r="Q12" s="316"/>
      <c r="S12" s="10"/>
      <c r="T12" s="10"/>
      <c r="U12" s="10"/>
      <c r="V12" s="10"/>
      <c r="W12" s="10"/>
      <c r="X12" s="11"/>
      <c r="Y12" s="119">
        <f>Y10-Y11</f>
        <v>104</v>
      </c>
      <c r="Z12" s="112">
        <v>160</v>
      </c>
      <c r="AA12" s="113">
        <f>AA10-AA11</f>
        <v>171.59687540017933</v>
      </c>
      <c r="AB12" s="120">
        <f t="shared" si="1"/>
        <v>36.537583533040419</v>
      </c>
      <c r="AC12" s="121">
        <f t="shared" si="0"/>
        <v>40.180141975767469</v>
      </c>
      <c r="AD12" s="116">
        <f>AD10-AD11</f>
        <v>37.716869000000003</v>
      </c>
      <c r="AE12" s="116">
        <f>AE10-AE11</f>
        <v>27.623799999999989</v>
      </c>
      <c r="AF12" s="117">
        <f>AF10-AF11</f>
        <v>26.906000000000006</v>
      </c>
      <c r="AG12" s="373" t="s">
        <v>20</v>
      </c>
      <c r="AH12" s="373"/>
      <c r="AI12" s="197"/>
      <c r="AJ12" s="197"/>
    </row>
    <row r="13" spans="3:38" ht="19.5" thickBot="1" x14ac:dyDescent="0.3">
      <c r="C13" s="10"/>
      <c r="D13" s="10"/>
      <c r="E13" s="10"/>
      <c r="F13" s="10"/>
      <c r="G13" s="10"/>
      <c r="H13" s="10"/>
      <c r="I13" s="10"/>
      <c r="J13" s="11"/>
      <c r="K13" s="177">
        <v>-9.8075504557293414E-3</v>
      </c>
      <c r="L13" s="67">
        <v>-2.2693832598480124E-2</v>
      </c>
      <c r="M13" s="31">
        <v>250.9991529715</v>
      </c>
      <c r="N13" s="31">
        <v>253.48522207679997</v>
      </c>
      <c r="O13" s="32">
        <v>256.82755450000002</v>
      </c>
      <c r="P13" s="327" t="s">
        <v>21</v>
      </c>
      <c r="Q13" s="328"/>
      <c r="S13" s="10"/>
      <c r="T13" s="10"/>
      <c r="U13" s="10"/>
      <c r="V13" s="10"/>
      <c r="W13" s="10"/>
      <c r="X13" s="11"/>
      <c r="Y13" s="122">
        <f>Y10+Y8</f>
        <v>1119</v>
      </c>
      <c r="Z13" s="123">
        <f>Z10+Z8</f>
        <v>1073.4000000000001</v>
      </c>
      <c r="AA13" s="124">
        <f>AA10+AA8</f>
        <v>1194.1352354975029</v>
      </c>
      <c r="AB13" s="125">
        <f t="shared" si="1"/>
        <v>-4.1634065619819411</v>
      </c>
      <c r="AC13" s="126">
        <f t="shared" si="0"/>
        <v>-19.464138956125915</v>
      </c>
      <c r="AD13" s="127">
        <f>AD10+AD8</f>
        <v>156.045479</v>
      </c>
      <c r="AE13" s="127">
        <f>AE10+AE8</f>
        <v>162.82452599999999</v>
      </c>
      <c r="AF13" s="127">
        <f>AF10+AF8</f>
        <v>193.75900000000001</v>
      </c>
      <c r="AG13" s="347" t="s">
        <v>21</v>
      </c>
      <c r="AH13" s="347"/>
      <c r="AI13" s="197"/>
      <c r="AJ13" s="197"/>
    </row>
    <row r="14" spans="3:38" ht="19.5" thickBot="1" x14ac:dyDescent="0.3">
      <c r="C14" s="10"/>
      <c r="D14" s="10"/>
      <c r="E14" s="10"/>
      <c r="F14" s="10"/>
      <c r="G14" s="10"/>
      <c r="H14" s="10"/>
      <c r="I14" s="10"/>
      <c r="J14" s="11"/>
      <c r="K14" s="178">
        <v>-9.5728212287663927E-2</v>
      </c>
      <c r="L14" s="68">
        <v>-0.13940845209367492</v>
      </c>
      <c r="M14" s="33">
        <v>190.33156918500003</v>
      </c>
      <c r="N14" s="33">
        <v>210.48049023679999</v>
      </c>
      <c r="O14" s="34">
        <v>221.16365149999999</v>
      </c>
      <c r="P14" s="322" t="s">
        <v>32</v>
      </c>
      <c r="Q14" s="323"/>
      <c r="S14" s="10"/>
      <c r="T14" s="10"/>
      <c r="U14" s="10"/>
      <c r="V14" s="10"/>
      <c r="W14" s="10"/>
      <c r="X14" s="11"/>
      <c r="Y14" s="122">
        <f>Y11+Y8</f>
        <v>1015</v>
      </c>
      <c r="Z14" s="123">
        <f>Z11+Z8</f>
        <v>913.4</v>
      </c>
      <c r="AA14" s="124">
        <f>AA11+AA8</f>
        <v>1022.5383600973236</v>
      </c>
      <c r="AB14" s="125">
        <f t="shared" si="1"/>
        <v>-12.479308727972358</v>
      </c>
      <c r="AC14" s="126">
        <f t="shared" si="0"/>
        <v>-29.08212018962799</v>
      </c>
      <c r="AD14" s="127">
        <f>AD11+AD8</f>
        <v>118.32861000000001</v>
      </c>
      <c r="AE14" s="127">
        <f>AE11+AE8</f>
        <v>135.200726</v>
      </c>
      <c r="AF14" s="127">
        <f>AF11+AF8</f>
        <v>166.85300000000001</v>
      </c>
      <c r="AG14" s="347" t="s">
        <v>53</v>
      </c>
      <c r="AH14" s="347"/>
      <c r="AI14" s="197"/>
      <c r="AJ14" s="197"/>
    </row>
    <row r="15" spans="3:38" ht="19.5" thickBot="1" x14ac:dyDescent="0.35">
      <c r="C15" s="10"/>
      <c r="D15" s="10"/>
      <c r="E15" s="10"/>
      <c r="F15" s="10"/>
      <c r="G15" s="10"/>
      <c r="H15" s="10"/>
      <c r="I15" s="10"/>
      <c r="J15" s="11"/>
      <c r="K15" s="56">
        <v>3.3209146968139924E-2</v>
      </c>
      <c r="L15" s="56">
        <v>0.21350433798566582</v>
      </c>
      <c r="M15" s="41">
        <v>1.6085</v>
      </c>
      <c r="N15" s="41">
        <v>1.5568</v>
      </c>
      <c r="O15" s="42">
        <v>1.3254999999999999</v>
      </c>
      <c r="P15" s="324" t="s">
        <v>22</v>
      </c>
      <c r="Q15" s="325"/>
      <c r="S15" s="10"/>
      <c r="T15" s="10"/>
      <c r="U15" s="10"/>
      <c r="V15" s="10"/>
      <c r="W15" s="10"/>
      <c r="X15" s="11"/>
      <c r="Y15" s="128">
        <v>1.67</v>
      </c>
      <c r="Z15" s="129">
        <v>1.6246</v>
      </c>
      <c r="AA15" s="130">
        <v>1.5618000000000001</v>
      </c>
      <c r="AB15" s="131">
        <f t="shared" si="1"/>
        <v>3.3209146968139827</v>
      </c>
      <c r="AC15" s="132">
        <f t="shared" si="0"/>
        <v>21.350433798566591</v>
      </c>
      <c r="AD15" s="133">
        <v>1.6085</v>
      </c>
      <c r="AE15" s="133">
        <v>1.5568</v>
      </c>
      <c r="AF15" s="130">
        <v>1.3254999999999999</v>
      </c>
      <c r="AG15" s="331" t="s">
        <v>22</v>
      </c>
      <c r="AH15" s="331"/>
      <c r="AI15" s="197"/>
      <c r="AJ15" s="197">
        <f>2.4*1.614</f>
        <v>3.8736000000000002</v>
      </c>
      <c r="AL15" s="28"/>
    </row>
    <row r="16" spans="3:38" ht="18.75" x14ac:dyDescent="0.3">
      <c r="C16" s="10"/>
      <c r="D16" s="10"/>
      <c r="E16" s="10"/>
      <c r="F16" s="10"/>
      <c r="G16" s="10"/>
      <c r="H16" s="10"/>
      <c r="I16" s="10"/>
      <c r="J16" s="11"/>
      <c r="K16" s="326"/>
      <c r="L16" s="326"/>
      <c r="M16" s="326"/>
      <c r="N16" s="326"/>
      <c r="O16" s="326"/>
      <c r="P16" s="326"/>
      <c r="Q16" s="326"/>
      <c r="S16" s="10"/>
      <c r="T16" s="10"/>
      <c r="U16" s="10"/>
      <c r="V16" s="10"/>
      <c r="W16" s="10"/>
      <c r="X16" s="11"/>
      <c r="Y16" s="11"/>
      <c r="Z16" s="343" t="s">
        <v>54</v>
      </c>
      <c r="AA16" s="343"/>
      <c r="AB16" s="326"/>
      <c r="AC16" s="326"/>
      <c r="AD16" s="326"/>
      <c r="AE16" s="326"/>
      <c r="AF16" s="326"/>
      <c r="AG16" s="326"/>
      <c r="AH16" s="326"/>
      <c r="AI16" s="197"/>
      <c r="AJ16" s="28"/>
      <c r="AK16" s="28"/>
      <c r="AL16" s="28"/>
    </row>
    <row r="17" spans="3:34" ht="33.75" thickBot="1" x14ac:dyDescent="0.3">
      <c r="C17" s="10"/>
      <c r="D17" s="10"/>
      <c r="E17" s="10"/>
      <c r="F17" s="10"/>
      <c r="G17" s="10"/>
      <c r="H17" s="10"/>
      <c r="I17" s="10"/>
      <c r="J17" s="11"/>
      <c r="K17" s="12"/>
      <c r="L17" s="25"/>
      <c r="M17" s="12"/>
      <c r="N17" s="12"/>
      <c r="O17" s="12"/>
      <c r="P17" s="319"/>
      <c r="Q17" s="319"/>
      <c r="R17" t="s">
        <v>28</v>
      </c>
      <c r="S17" s="10"/>
      <c r="T17" s="10"/>
      <c r="U17" s="10"/>
      <c r="V17" s="10"/>
      <c r="W17" s="10"/>
      <c r="X17" s="11"/>
      <c r="Y17" s="11"/>
      <c r="Z17" s="292" t="s">
        <v>55</v>
      </c>
      <c r="AA17" s="292"/>
      <c r="AB17" s="12"/>
      <c r="AC17" s="12"/>
      <c r="AD17" s="12"/>
      <c r="AE17" s="12"/>
      <c r="AF17" s="12"/>
      <c r="AG17" s="319" t="s">
        <v>56</v>
      </c>
      <c r="AH17" s="319"/>
    </row>
    <row r="18" spans="3:34" ht="19.5" customHeight="1" thickBot="1" x14ac:dyDescent="0.3">
      <c r="C18" s="10"/>
      <c r="D18" s="10"/>
      <c r="E18" s="10"/>
      <c r="F18" s="10"/>
      <c r="G18" s="10"/>
      <c r="H18" s="10"/>
      <c r="I18" s="10"/>
      <c r="J18" s="11"/>
      <c r="K18" s="333" t="s">
        <v>26</v>
      </c>
      <c r="L18" s="334"/>
      <c r="M18" s="344" t="s">
        <v>73</v>
      </c>
      <c r="N18" s="345"/>
      <c r="O18" s="346"/>
      <c r="P18" s="330" t="s">
        <v>29</v>
      </c>
      <c r="Q18" s="330"/>
      <c r="S18" s="10"/>
      <c r="T18" s="10"/>
      <c r="U18" s="10"/>
      <c r="V18" s="10"/>
      <c r="W18" s="10"/>
      <c r="X18" s="11"/>
      <c r="Y18" s="348" t="s">
        <v>44</v>
      </c>
      <c r="Z18" s="349"/>
      <c r="AA18" s="350"/>
      <c r="AB18" s="351" t="s">
        <v>45</v>
      </c>
      <c r="AC18" s="352"/>
      <c r="AD18" s="353" t="s">
        <v>71</v>
      </c>
      <c r="AE18" s="354"/>
      <c r="AF18" s="355"/>
      <c r="AG18" s="358" t="s">
        <v>57</v>
      </c>
      <c r="AH18" s="358"/>
    </row>
    <row r="19" spans="3:34" ht="15.75" customHeight="1" thickBot="1" x14ac:dyDescent="0.3">
      <c r="C19" s="10"/>
      <c r="D19" s="10"/>
      <c r="E19" s="10"/>
      <c r="F19" s="10"/>
      <c r="G19" s="10"/>
      <c r="H19" s="10"/>
      <c r="I19" s="10"/>
      <c r="K19" s="14" t="s">
        <v>67</v>
      </c>
      <c r="L19" s="13" t="s">
        <v>66</v>
      </c>
      <c r="M19" s="195">
        <v>2014</v>
      </c>
      <c r="N19" s="196">
        <v>2013</v>
      </c>
      <c r="O19" s="196">
        <v>2010</v>
      </c>
      <c r="P19" s="330"/>
      <c r="Q19" s="330"/>
      <c r="S19" s="10"/>
      <c r="T19" s="10"/>
      <c r="U19" s="10"/>
      <c r="V19" s="10"/>
      <c r="W19" s="10"/>
      <c r="X19" s="11"/>
      <c r="Y19" s="97" t="s">
        <v>47</v>
      </c>
      <c r="Z19" s="98" t="s">
        <v>48</v>
      </c>
      <c r="AA19" s="99" t="s">
        <v>49</v>
      </c>
      <c r="AB19" s="100" t="s">
        <v>50</v>
      </c>
      <c r="AC19" s="101" t="s">
        <v>51</v>
      </c>
      <c r="AD19" s="102" t="s">
        <v>52</v>
      </c>
      <c r="AE19" s="98" t="s">
        <v>48</v>
      </c>
      <c r="AF19" s="103">
        <v>2010</v>
      </c>
      <c r="AG19" s="358"/>
      <c r="AH19" s="358"/>
    </row>
    <row r="20" spans="3:34" ht="15.75" thickBot="1" x14ac:dyDescent="0.3">
      <c r="C20" s="10"/>
      <c r="D20" s="10"/>
      <c r="E20" s="10"/>
      <c r="F20" s="10"/>
      <c r="G20" s="10"/>
      <c r="H20" s="10"/>
      <c r="I20" s="10"/>
      <c r="K20" s="89">
        <v>-53.366864778183299</v>
      </c>
      <c r="L20" s="278">
        <v>171.47065069852906</v>
      </c>
      <c r="M20" s="90">
        <v>588</v>
      </c>
      <c r="N20" s="91">
        <v>216.59800000000001</v>
      </c>
      <c r="O20" s="92">
        <v>1260.9059999999999</v>
      </c>
      <c r="P20" s="331" t="s">
        <v>18</v>
      </c>
      <c r="Q20" s="331"/>
      <c r="S20" s="10"/>
      <c r="T20" s="10"/>
      <c r="U20" s="10"/>
      <c r="V20" s="10"/>
      <c r="W20" s="10"/>
      <c r="X20" s="11"/>
      <c r="Y20" s="210">
        <v>5500</v>
      </c>
      <c r="Z20" s="211">
        <v>3300</v>
      </c>
      <c r="AA20" s="212">
        <v>2604.9830000000002</v>
      </c>
      <c r="AB20" s="213" t="s">
        <v>72</v>
      </c>
      <c r="AC20" s="214">
        <f>(AD20-AF20)*100/AF20</f>
        <v>-53.366864778183299</v>
      </c>
      <c r="AD20" s="215">
        <v>588</v>
      </c>
      <c r="AE20" s="211">
        <v>216.59800000000001</v>
      </c>
      <c r="AF20" s="216">
        <v>1260.9059999999999</v>
      </c>
      <c r="AG20" s="378" t="s">
        <v>18</v>
      </c>
      <c r="AH20" s="378"/>
    </row>
    <row r="21" spans="3:34" x14ac:dyDescent="0.25">
      <c r="C21" s="10"/>
      <c r="D21" s="10"/>
      <c r="E21" s="10"/>
      <c r="F21" s="10"/>
      <c r="G21" s="10"/>
      <c r="H21" s="10"/>
      <c r="I21" s="10"/>
      <c r="K21" s="283"/>
      <c r="L21" s="284"/>
      <c r="M21" s="93"/>
      <c r="N21" s="93"/>
      <c r="O21" s="93"/>
      <c r="P21" s="332" t="s">
        <v>5</v>
      </c>
      <c r="Q21" s="332"/>
      <c r="S21" s="10"/>
      <c r="T21" s="10"/>
      <c r="U21" s="10"/>
      <c r="V21" s="10"/>
      <c r="W21" s="10"/>
      <c r="X21" s="11"/>
      <c r="Y21" s="217"/>
      <c r="Z21" s="218"/>
      <c r="AA21" s="219"/>
      <c r="AB21" s="220"/>
      <c r="AC21" s="221"/>
      <c r="AD21" s="222"/>
      <c r="AE21" s="223"/>
      <c r="AF21" s="224"/>
      <c r="AG21" s="356" t="s">
        <v>5</v>
      </c>
      <c r="AH21" s="356"/>
    </row>
    <row r="22" spans="3:34" x14ac:dyDescent="0.25">
      <c r="C22" s="10"/>
      <c r="D22" s="10"/>
      <c r="E22" s="10"/>
      <c r="F22" s="10"/>
      <c r="G22" s="10"/>
      <c r="H22" s="10"/>
      <c r="I22" s="10"/>
      <c r="K22" s="281">
        <v>-52.660157702539067</v>
      </c>
      <c r="L22" s="282">
        <v>32.056226395021021</v>
      </c>
      <c r="M22" s="46">
        <v>99.301000000000002</v>
      </c>
      <c r="N22" s="46">
        <v>75.195999999999998</v>
      </c>
      <c r="O22" s="46">
        <v>209.762</v>
      </c>
      <c r="P22" s="329" t="s">
        <v>10</v>
      </c>
      <c r="Q22" s="329"/>
      <c r="S22" s="10"/>
      <c r="T22" s="10"/>
      <c r="U22" s="10"/>
      <c r="V22" s="10"/>
      <c r="W22" s="10"/>
      <c r="X22" s="11"/>
      <c r="Y22" s="134">
        <v>967.30200000000002</v>
      </c>
      <c r="Z22" s="135">
        <v>740</v>
      </c>
      <c r="AA22" s="136">
        <v>775.69600000000003</v>
      </c>
      <c r="AB22" s="137">
        <f t="shared" ref="AB22:AB26" si="2">(AD22-AE22)*100/AE22</f>
        <v>32.056226395021021</v>
      </c>
      <c r="AC22" s="138">
        <f t="shared" ref="AC22:AC26" si="3">(AD22-AF22)*100/AF22</f>
        <v>-52.660157702539067</v>
      </c>
      <c r="AD22" s="139">
        <v>99.301000000000002</v>
      </c>
      <c r="AE22" s="135">
        <v>75.195999999999998</v>
      </c>
      <c r="AF22" s="140">
        <v>209.762</v>
      </c>
      <c r="AG22" s="357" t="s">
        <v>10</v>
      </c>
      <c r="AH22" s="357"/>
    </row>
    <row r="23" spans="3:34" x14ac:dyDescent="0.25">
      <c r="C23" s="10"/>
      <c r="D23" s="10"/>
      <c r="E23" s="10"/>
      <c r="F23" s="10"/>
      <c r="G23" s="10"/>
      <c r="H23" s="10"/>
      <c r="I23" s="10"/>
      <c r="K23" s="51">
        <v>-30.380863946465706</v>
      </c>
      <c r="L23" s="279">
        <v>229.2324442025041</v>
      </c>
      <c r="M23" s="46">
        <v>90.72</v>
      </c>
      <c r="N23" s="46">
        <v>27.555</v>
      </c>
      <c r="O23" s="46">
        <v>130.309</v>
      </c>
      <c r="P23" s="329" t="s">
        <v>23</v>
      </c>
      <c r="Q23" s="329"/>
      <c r="S23" s="10"/>
      <c r="T23" s="10"/>
      <c r="U23" s="10"/>
      <c r="V23" s="10"/>
      <c r="W23" s="10"/>
      <c r="X23" s="11"/>
      <c r="Y23" s="134">
        <v>632.77800000000002</v>
      </c>
      <c r="Z23" s="135">
        <v>537</v>
      </c>
      <c r="AA23" s="136">
        <v>492.26100000000002</v>
      </c>
      <c r="AB23" s="137" t="s">
        <v>72</v>
      </c>
      <c r="AC23" s="138">
        <f t="shared" si="3"/>
        <v>-30.380863946465706</v>
      </c>
      <c r="AD23" s="139">
        <v>90.72</v>
      </c>
      <c r="AE23" s="135">
        <v>27.555</v>
      </c>
      <c r="AF23" s="140">
        <v>130.309</v>
      </c>
      <c r="AG23" s="357" t="s">
        <v>23</v>
      </c>
      <c r="AH23" s="357"/>
    </row>
    <row r="24" spans="3:34" x14ac:dyDescent="0.25">
      <c r="C24" s="10"/>
      <c r="D24" s="10"/>
      <c r="E24" s="10"/>
      <c r="F24" s="10"/>
      <c r="G24" s="10"/>
      <c r="H24" s="10"/>
      <c r="I24" s="10"/>
      <c r="K24" s="51">
        <v>-61.867775831873907</v>
      </c>
      <c r="L24" s="279">
        <v>22.359122774975752</v>
      </c>
      <c r="M24" s="46">
        <v>87.093999999999994</v>
      </c>
      <c r="N24" s="46">
        <v>71.179000000000002</v>
      </c>
      <c r="O24" s="46">
        <v>228.4</v>
      </c>
      <c r="P24" s="329" t="s">
        <v>11</v>
      </c>
      <c r="Q24" s="329"/>
      <c r="R24">
        <f>588/650-1</f>
        <v>-9.5384615384615401E-2</v>
      </c>
      <c r="S24" s="10"/>
      <c r="T24" s="10"/>
      <c r="U24" s="10"/>
      <c r="V24" s="10"/>
      <c r="W24" s="10"/>
      <c r="X24" s="11"/>
      <c r="Y24" s="134">
        <v>900</v>
      </c>
      <c r="Z24" s="135">
        <v>841</v>
      </c>
      <c r="AA24" s="136">
        <v>652.59799999999996</v>
      </c>
      <c r="AB24" s="137">
        <f t="shared" si="2"/>
        <v>22.359122774975752</v>
      </c>
      <c r="AC24" s="138">
        <f t="shared" si="3"/>
        <v>-61.867775831873907</v>
      </c>
      <c r="AD24" s="139">
        <v>87.093999999999994</v>
      </c>
      <c r="AE24" s="135">
        <v>71.179000000000002</v>
      </c>
      <c r="AF24" s="140">
        <v>228.4</v>
      </c>
      <c r="AG24" s="320" t="s">
        <v>58</v>
      </c>
      <c r="AH24" s="320"/>
    </row>
    <row r="25" spans="3:34" x14ac:dyDescent="0.25">
      <c r="C25" s="10"/>
      <c r="D25" s="10"/>
      <c r="E25" s="10"/>
      <c r="F25" s="10"/>
      <c r="G25" s="10"/>
      <c r="H25" s="10"/>
      <c r="I25" s="10"/>
      <c r="K25" s="51">
        <v>-34.618235730170497</v>
      </c>
      <c r="L25" s="279">
        <v>20.163487738419626</v>
      </c>
      <c r="M25" s="46">
        <v>8.82</v>
      </c>
      <c r="N25" s="46">
        <v>7.34</v>
      </c>
      <c r="O25" s="46">
        <v>13.49</v>
      </c>
      <c r="P25" s="329" t="s">
        <v>12</v>
      </c>
      <c r="Q25" s="329"/>
      <c r="R25">
        <f>588/650</f>
        <v>0.9046153846153846</v>
      </c>
      <c r="S25" s="10"/>
      <c r="T25" s="10"/>
      <c r="U25" s="10"/>
      <c r="V25" s="10"/>
      <c r="W25" s="10"/>
      <c r="X25" s="11"/>
      <c r="Y25" s="134">
        <v>59.996000000000002</v>
      </c>
      <c r="Z25" s="135">
        <v>49</v>
      </c>
      <c r="AA25" s="136">
        <v>57.48</v>
      </c>
      <c r="AB25" s="137">
        <f t="shared" si="2"/>
        <v>20.163487738419626</v>
      </c>
      <c r="AC25" s="138">
        <f t="shared" si="3"/>
        <v>-34.618235730170497</v>
      </c>
      <c r="AD25" s="139">
        <v>8.82</v>
      </c>
      <c r="AE25" s="135">
        <v>7.34</v>
      </c>
      <c r="AF25" s="140">
        <v>13.49</v>
      </c>
      <c r="AG25" s="357" t="s">
        <v>12</v>
      </c>
      <c r="AH25" s="357"/>
    </row>
    <row r="26" spans="3:34" ht="15.75" thickBot="1" x14ac:dyDescent="0.3">
      <c r="C26" s="10"/>
      <c r="D26" s="10"/>
      <c r="E26" s="10"/>
      <c r="F26" s="10"/>
      <c r="G26" s="10"/>
      <c r="H26" s="10"/>
      <c r="I26" s="10"/>
      <c r="K26" s="53">
        <v>-15.826821541710665</v>
      </c>
      <c r="L26" s="280">
        <v>46.486327550720397</v>
      </c>
      <c r="M26" s="47">
        <v>19.928000000000001</v>
      </c>
      <c r="N26" s="47">
        <v>13.603999999999999</v>
      </c>
      <c r="O26" s="48">
        <v>23.675000000000001</v>
      </c>
      <c r="P26" s="359" t="s">
        <v>24</v>
      </c>
      <c r="Q26" s="359"/>
      <c r="R26">
        <f>252/650-1</f>
        <v>-0.61230769230769233</v>
      </c>
      <c r="S26" s="10"/>
      <c r="T26" s="10"/>
      <c r="U26" s="10"/>
      <c r="V26" s="10"/>
      <c r="W26" s="10"/>
      <c r="X26" s="11"/>
      <c r="Y26" s="141">
        <v>145</v>
      </c>
      <c r="Z26" s="142">
        <v>131</v>
      </c>
      <c r="AA26" s="143">
        <v>116.69499999999999</v>
      </c>
      <c r="AB26" s="144">
        <f t="shared" si="2"/>
        <v>46.486327550720397</v>
      </c>
      <c r="AC26" s="145">
        <f t="shared" si="3"/>
        <v>-15.826821541710665</v>
      </c>
      <c r="AD26" s="146">
        <v>19.928000000000001</v>
      </c>
      <c r="AE26" s="142">
        <v>13.603999999999999</v>
      </c>
      <c r="AF26" s="147">
        <v>23.675000000000001</v>
      </c>
      <c r="AG26" s="367" t="s">
        <v>24</v>
      </c>
      <c r="AH26" s="367"/>
    </row>
    <row r="27" spans="3:34" ht="23.25" thickBot="1" x14ac:dyDescent="0.3">
      <c r="C27" s="15"/>
      <c r="D27" s="15"/>
      <c r="E27" s="15"/>
      <c r="F27" s="15"/>
      <c r="G27" s="15"/>
      <c r="H27" s="15"/>
      <c r="I27" s="15"/>
      <c r="J27" s="16"/>
      <c r="K27" s="17"/>
      <c r="L27" s="70"/>
      <c r="M27" s="70">
        <f>SUM(M23:M24)</f>
        <v>177.81399999999999</v>
      </c>
      <c r="N27" s="70">
        <f>SUM(N23:N24)</f>
        <v>98.734000000000009</v>
      </c>
      <c r="O27" s="70"/>
      <c r="P27" s="18"/>
      <c r="Q27" s="18"/>
      <c r="S27" s="15"/>
      <c r="T27" s="15"/>
      <c r="U27" s="15"/>
      <c r="V27" s="15"/>
      <c r="W27" s="15"/>
      <c r="X27" s="16"/>
      <c r="Y27" s="16"/>
      <c r="Z27" s="18"/>
      <c r="AA27" s="17"/>
      <c r="AB27" s="374"/>
      <c r="AC27" s="374"/>
      <c r="AD27" s="374"/>
      <c r="AE27" s="374"/>
      <c r="AF27" s="374"/>
      <c r="AG27" s="374"/>
      <c r="AH27" s="374"/>
    </row>
    <row r="28" spans="3:34" ht="25.5" x14ac:dyDescent="0.25">
      <c r="C28" s="10"/>
      <c r="D28" s="10"/>
      <c r="E28" s="10"/>
      <c r="F28" s="10"/>
      <c r="G28" s="10"/>
      <c r="H28" s="10"/>
      <c r="I28" s="10"/>
      <c r="J28" s="11"/>
      <c r="K28" s="19"/>
      <c r="L28" s="71"/>
      <c r="M28" s="94"/>
      <c r="N28" s="94"/>
      <c r="O28" s="75"/>
      <c r="P28" s="20"/>
      <c r="Q28" s="20"/>
      <c r="S28" s="10"/>
      <c r="T28" s="10"/>
      <c r="U28" s="10"/>
      <c r="V28" s="10"/>
      <c r="W28" s="10"/>
      <c r="X28" s="11"/>
      <c r="Y28" s="11"/>
      <c r="Z28" s="20"/>
      <c r="AA28" s="19"/>
      <c r="AB28" s="19"/>
      <c r="AC28" s="19"/>
      <c r="AD28" s="19"/>
      <c r="AE28" s="19"/>
      <c r="AF28" s="19"/>
      <c r="AG28" s="20"/>
      <c r="AH28" s="20"/>
    </row>
    <row r="29" spans="3:34" x14ac:dyDescent="0.25">
      <c r="C29" s="21"/>
      <c r="D29" s="21"/>
      <c r="E29" s="21"/>
      <c r="F29" s="21"/>
      <c r="G29" s="21"/>
      <c r="H29" s="21"/>
      <c r="I29" s="21"/>
      <c r="J29" s="22"/>
      <c r="K29" s="19"/>
      <c r="L29" s="71"/>
      <c r="M29" s="71"/>
      <c r="N29" s="71"/>
      <c r="O29" s="71"/>
      <c r="P29" s="20"/>
      <c r="R29" s="71"/>
      <c r="S29" s="21"/>
      <c r="T29" s="21"/>
      <c r="U29" s="21"/>
      <c r="V29" s="21"/>
      <c r="W29" s="21"/>
      <c r="X29" s="22"/>
      <c r="Y29" s="22"/>
      <c r="Z29" s="20"/>
      <c r="AA29" s="19"/>
      <c r="AB29" s="19"/>
      <c r="AC29" s="19"/>
      <c r="AD29" s="19"/>
      <c r="AE29" s="19"/>
      <c r="AF29" s="19"/>
      <c r="AG29" s="20"/>
      <c r="AH29" s="20"/>
    </row>
    <row r="30" spans="3:34" ht="18.75" x14ac:dyDescent="0.25">
      <c r="C30" s="8"/>
      <c r="D30" s="8"/>
      <c r="E30" s="8"/>
      <c r="F30" s="8"/>
      <c r="G30" s="8"/>
      <c r="H30" s="8"/>
      <c r="I30" s="8"/>
      <c r="J30" s="9"/>
      <c r="K30" s="23"/>
      <c r="L30" s="72"/>
      <c r="M30" s="72"/>
      <c r="N30" s="72"/>
      <c r="O30" s="73"/>
      <c r="S30" s="8"/>
      <c r="T30" s="8"/>
      <c r="U30" s="8"/>
      <c r="V30" s="8"/>
      <c r="W30" s="8"/>
      <c r="X30" s="9"/>
      <c r="Y30" s="9"/>
      <c r="Z30" s="148"/>
      <c r="AA30" s="23"/>
      <c r="AB30" s="23"/>
      <c r="AC30" s="23"/>
      <c r="AD30" s="23"/>
      <c r="AE30" s="23"/>
      <c r="AF30" s="23"/>
      <c r="AG30" s="375" t="s">
        <v>59</v>
      </c>
      <c r="AH30" s="375"/>
    </row>
    <row r="31" spans="3:34" ht="33.75" thickBot="1" x14ac:dyDescent="0.85">
      <c r="C31" s="10"/>
      <c r="D31" s="10"/>
      <c r="E31" s="10"/>
      <c r="F31" s="10"/>
      <c r="G31" s="10"/>
      <c r="H31" s="10"/>
      <c r="I31" s="10"/>
      <c r="J31" s="11"/>
      <c r="K31" s="12"/>
      <c r="L31" s="360"/>
      <c r="M31" s="361"/>
      <c r="N31" s="71"/>
      <c r="O31" s="74"/>
      <c r="P31" s="69"/>
      <c r="S31" s="10"/>
      <c r="T31" s="10"/>
      <c r="U31" s="10"/>
      <c r="V31" s="10"/>
      <c r="W31" s="10"/>
      <c r="X31" s="11"/>
      <c r="Y31" s="11"/>
      <c r="Z31" s="376" t="s">
        <v>55</v>
      </c>
      <c r="AA31" s="376"/>
      <c r="AB31" s="12"/>
      <c r="AC31" s="12"/>
      <c r="AD31" s="377" t="s">
        <v>60</v>
      </c>
      <c r="AE31" s="377"/>
      <c r="AF31" s="377"/>
      <c r="AG31" s="377"/>
      <c r="AH31" s="377"/>
    </row>
    <row r="32" spans="3:34" ht="19.5" customHeight="1" thickBot="1" x14ac:dyDescent="0.3">
      <c r="C32" s="10"/>
      <c r="D32" s="10"/>
      <c r="E32" s="10"/>
      <c r="F32" s="10"/>
      <c r="G32" s="10"/>
      <c r="H32" s="10"/>
      <c r="I32" s="10"/>
      <c r="J32" s="11"/>
      <c r="K32" s="362" t="s">
        <v>26</v>
      </c>
      <c r="L32" s="363"/>
      <c r="M32" s="344" t="s">
        <v>73</v>
      </c>
      <c r="N32" s="345"/>
      <c r="O32" s="346"/>
      <c r="P32" s="364" t="s">
        <v>30</v>
      </c>
      <c r="Q32" s="364"/>
      <c r="S32" s="10"/>
      <c r="T32" s="10"/>
      <c r="U32" s="10"/>
      <c r="V32" s="10"/>
      <c r="W32" s="10"/>
      <c r="X32" s="11"/>
      <c r="Y32" s="348" t="s">
        <v>44</v>
      </c>
      <c r="Z32" s="349"/>
      <c r="AA32" s="350"/>
      <c r="AB32" s="351" t="s">
        <v>45</v>
      </c>
      <c r="AC32" s="352"/>
      <c r="AD32" s="353" t="s">
        <v>71</v>
      </c>
      <c r="AE32" s="354"/>
      <c r="AF32" s="355"/>
      <c r="AG32" s="358" t="s">
        <v>57</v>
      </c>
      <c r="AH32" s="358"/>
    </row>
    <row r="33" spans="3:34" ht="15.75" customHeight="1" thickBot="1" x14ac:dyDescent="0.3">
      <c r="C33" s="10"/>
      <c r="D33" s="10"/>
      <c r="E33" s="10"/>
      <c r="F33" s="10"/>
      <c r="G33" s="10"/>
      <c r="H33" s="10"/>
      <c r="I33" s="10"/>
      <c r="K33" s="14" t="s">
        <v>67</v>
      </c>
      <c r="L33" s="13" t="s">
        <v>66</v>
      </c>
      <c r="M33" s="195">
        <v>2014</v>
      </c>
      <c r="N33" s="196">
        <v>2013</v>
      </c>
      <c r="O33" s="196">
        <v>2010</v>
      </c>
      <c r="P33" s="364"/>
      <c r="Q33" s="364"/>
      <c r="S33" s="10"/>
      <c r="T33" s="10"/>
      <c r="U33" s="10"/>
      <c r="V33" s="10"/>
      <c r="W33" s="10"/>
      <c r="X33" s="11"/>
      <c r="Y33" s="97" t="s">
        <v>47</v>
      </c>
      <c r="Z33" s="98" t="s">
        <v>48</v>
      </c>
      <c r="AA33" s="99" t="s">
        <v>49</v>
      </c>
      <c r="AB33" s="100" t="s">
        <v>50</v>
      </c>
      <c r="AC33" s="101" t="s">
        <v>51</v>
      </c>
      <c r="AD33" s="102" t="s">
        <v>52</v>
      </c>
      <c r="AE33" s="98" t="s">
        <v>48</v>
      </c>
      <c r="AF33" s="103">
        <v>2010</v>
      </c>
      <c r="AG33" s="358"/>
      <c r="AH33" s="358"/>
    </row>
    <row r="34" spans="3:34" ht="15.75" thickBot="1" x14ac:dyDescent="0.3">
      <c r="C34" s="10"/>
      <c r="D34" s="10"/>
      <c r="E34" s="10"/>
      <c r="F34" s="10"/>
      <c r="G34" s="10"/>
      <c r="H34" s="10"/>
      <c r="I34" s="10"/>
      <c r="K34" s="179">
        <v>-80.066038889568304</v>
      </c>
      <c r="L34" s="285">
        <v>443.33333333333331</v>
      </c>
      <c r="M34" s="90">
        <v>16.3</v>
      </c>
      <c r="N34" s="91">
        <v>3</v>
      </c>
      <c r="O34" s="92">
        <v>81.77</v>
      </c>
      <c r="P34" s="331" t="s">
        <v>18</v>
      </c>
      <c r="Q34" s="331"/>
      <c r="S34" s="10"/>
      <c r="T34" s="10"/>
      <c r="U34" s="10"/>
      <c r="V34" s="10"/>
      <c r="W34" s="10"/>
      <c r="X34" s="11"/>
      <c r="Y34" s="210">
        <v>100</v>
      </c>
      <c r="Z34" s="211">
        <v>30.52</v>
      </c>
      <c r="AA34" s="225">
        <v>88.989000000000004</v>
      </c>
      <c r="AB34" s="221" t="s">
        <v>72</v>
      </c>
      <c r="AC34" s="221">
        <f>(AD34-AF34)*100/AF34</f>
        <v>-80.066038889568304</v>
      </c>
      <c r="AD34" s="222">
        <v>16.3</v>
      </c>
      <c r="AE34" s="223">
        <v>3</v>
      </c>
      <c r="AF34" s="224">
        <v>81.77</v>
      </c>
      <c r="AG34" s="378" t="s">
        <v>18</v>
      </c>
      <c r="AH34" s="378"/>
    </row>
    <row r="35" spans="3:34" ht="15.75" x14ac:dyDescent="0.25">
      <c r="C35" s="10"/>
      <c r="D35" s="10"/>
      <c r="E35" s="10"/>
      <c r="F35" s="10"/>
      <c r="G35" s="10"/>
      <c r="H35" s="10"/>
      <c r="I35" s="10"/>
      <c r="K35" s="179"/>
      <c r="L35" s="284"/>
      <c r="M35" s="83"/>
      <c r="N35" s="83"/>
      <c r="O35" s="83"/>
      <c r="P35" s="365" t="s">
        <v>5</v>
      </c>
      <c r="Q35" s="365"/>
      <c r="S35" s="10"/>
      <c r="T35" s="10"/>
      <c r="U35" s="10"/>
      <c r="V35" s="10"/>
      <c r="W35" s="10"/>
      <c r="X35" s="11"/>
      <c r="Y35" s="217"/>
      <c r="Z35" s="218"/>
      <c r="AA35" s="226"/>
      <c r="AB35" s="220"/>
      <c r="AC35" s="221"/>
      <c r="AD35" s="222"/>
      <c r="AE35" s="223"/>
      <c r="AF35" s="224"/>
      <c r="AG35" s="356" t="s">
        <v>5</v>
      </c>
      <c r="AH35" s="356"/>
    </row>
    <row r="36" spans="3:34" x14ac:dyDescent="0.25">
      <c r="C36" s="10"/>
      <c r="D36" s="10"/>
      <c r="E36" s="10"/>
      <c r="F36" s="10"/>
      <c r="G36" s="10"/>
      <c r="H36" s="10"/>
      <c r="I36" s="10"/>
      <c r="K36" s="51">
        <v>-70.414208016258854</v>
      </c>
      <c r="L36" s="52">
        <v>-56.943114024031594</v>
      </c>
      <c r="M36" s="46">
        <v>25.620999999999999</v>
      </c>
      <c r="N36" s="46">
        <v>59.505000000000003</v>
      </c>
      <c r="O36" s="46">
        <v>86.599000000000004</v>
      </c>
      <c r="P36" s="320" t="s">
        <v>10</v>
      </c>
      <c r="Q36" s="320"/>
      <c r="S36" s="10"/>
      <c r="T36" s="10"/>
      <c r="U36" s="10"/>
      <c r="V36" s="10"/>
      <c r="W36" s="10"/>
      <c r="X36" s="11"/>
      <c r="Y36" s="134">
        <v>530</v>
      </c>
      <c r="Z36" s="135">
        <v>284.61099999999999</v>
      </c>
      <c r="AA36" s="149">
        <v>360.13499999999999</v>
      </c>
      <c r="AB36" s="137">
        <f t="shared" ref="AB36:AB40" si="4">(AD36-AE36)*100/AE36</f>
        <v>-56.943114024031594</v>
      </c>
      <c r="AC36" s="138">
        <f t="shared" ref="AC36:AC40" si="5">(AD36-AF36)*100/AF36</f>
        <v>-70.414208016258854</v>
      </c>
      <c r="AD36" s="139">
        <v>25.620999999999999</v>
      </c>
      <c r="AE36" s="135">
        <v>59.505000000000003</v>
      </c>
      <c r="AF36" s="140">
        <v>86.599000000000004</v>
      </c>
      <c r="AG36" s="357" t="s">
        <v>10</v>
      </c>
      <c r="AH36" s="357"/>
    </row>
    <row r="37" spans="3:34" x14ac:dyDescent="0.25">
      <c r="C37" s="10"/>
      <c r="D37" s="10"/>
      <c r="E37" s="10"/>
      <c r="F37" s="10"/>
      <c r="G37" s="10"/>
      <c r="H37" s="10"/>
      <c r="I37" s="10"/>
      <c r="K37" s="51">
        <v>20.900631083538354</v>
      </c>
      <c r="L37" s="279">
        <v>60.988463181882942</v>
      </c>
      <c r="M37" s="46">
        <v>113.03</v>
      </c>
      <c r="N37" s="46">
        <v>70.209999999999994</v>
      </c>
      <c r="O37" s="46">
        <v>93.49</v>
      </c>
      <c r="P37" s="320" t="s">
        <v>23</v>
      </c>
      <c r="Q37" s="320"/>
      <c r="S37" s="10"/>
      <c r="T37" s="10"/>
      <c r="U37" s="10"/>
      <c r="V37" s="10"/>
      <c r="W37" s="10"/>
      <c r="X37" s="11"/>
      <c r="Y37" s="134">
        <v>620</v>
      </c>
      <c r="Z37" s="135">
        <v>484.45600000000002</v>
      </c>
      <c r="AA37" s="149">
        <v>446.34500000000003</v>
      </c>
      <c r="AB37" s="137">
        <f t="shared" si="4"/>
        <v>60.988463181882942</v>
      </c>
      <c r="AC37" s="138">
        <f t="shared" si="5"/>
        <v>20.900631083538354</v>
      </c>
      <c r="AD37" s="139">
        <v>113.03</v>
      </c>
      <c r="AE37" s="135">
        <v>70.209999999999994</v>
      </c>
      <c r="AF37" s="140">
        <v>93.49</v>
      </c>
      <c r="AG37" s="357" t="s">
        <v>23</v>
      </c>
      <c r="AH37" s="357"/>
    </row>
    <row r="38" spans="3:34" x14ac:dyDescent="0.25">
      <c r="C38" s="10"/>
      <c r="D38" s="10"/>
      <c r="E38" s="10"/>
      <c r="F38" s="10"/>
      <c r="G38" s="10"/>
      <c r="H38" s="10"/>
      <c r="I38" s="10"/>
      <c r="K38" s="51">
        <v>-49.402286614103382</v>
      </c>
      <c r="L38" s="279">
        <v>18.224335388920547</v>
      </c>
      <c r="M38" s="46">
        <v>91.254999999999995</v>
      </c>
      <c r="N38" s="46">
        <v>77.188000000000002</v>
      </c>
      <c r="O38" s="46">
        <v>180.35400000000001</v>
      </c>
      <c r="P38" s="320" t="s">
        <v>11</v>
      </c>
      <c r="Q38" s="320"/>
      <c r="S38" s="10"/>
      <c r="T38" s="10"/>
      <c r="U38" s="10"/>
      <c r="V38" s="10"/>
      <c r="W38" s="10"/>
      <c r="X38" s="11"/>
      <c r="Y38" s="134">
        <v>840</v>
      </c>
      <c r="Z38" s="135">
        <v>787.73199999999997</v>
      </c>
      <c r="AA38" s="149">
        <v>559.30899999999997</v>
      </c>
      <c r="AB38" s="137">
        <f t="shared" si="4"/>
        <v>18.224335388920547</v>
      </c>
      <c r="AC38" s="138">
        <f t="shared" si="5"/>
        <v>-49.402286614103382</v>
      </c>
      <c r="AD38" s="139">
        <v>91.254999999999995</v>
      </c>
      <c r="AE38" s="135">
        <v>77.188000000000002</v>
      </c>
      <c r="AF38" s="140">
        <v>180.35400000000001</v>
      </c>
      <c r="AG38" s="357" t="s">
        <v>58</v>
      </c>
      <c r="AH38" s="357"/>
    </row>
    <row r="39" spans="3:34" x14ac:dyDescent="0.25">
      <c r="C39" s="10"/>
      <c r="D39" s="10"/>
      <c r="E39" s="10"/>
      <c r="F39" s="10"/>
      <c r="G39" s="10"/>
      <c r="H39" s="10"/>
      <c r="I39" s="10"/>
      <c r="K39" s="51">
        <v>-48.144382308083387</v>
      </c>
      <c r="L39" s="181" t="s">
        <v>0</v>
      </c>
      <c r="M39" s="46">
        <v>5.0999999999999996</v>
      </c>
      <c r="N39" s="46">
        <v>4</v>
      </c>
      <c r="O39" s="46">
        <v>9.8350000000000009</v>
      </c>
      <c r="P39" s="320" t="s">
        <v>12</v>
      </c>
      <c r="Q39" s="320"/>
      <c r="S39" s="10"/>
      <c r="T39" s="10"/>
      <c r="U39" s="10"/>
      <c r="V39" s="10"/>
      <c r="W39" s="10"/>
      <c r="X39" s="11"/>
      <c r="Y39" s="134">
        <v>45</v>
      </c>
      <c r="Z39" s="135">
        <v>20.98</v>
      </c>
      <c r="AA39" s="149">
        <v>34.1</v>
      </c>
      <c r="AB39" s="137">
        <f t="shared" si="4"/>
        <v>27.499999999999993</v>
      </c>
      <c r="AC39" s="138">
        <f t="shared" si="5"/>
        <v>-48.144382308083387</v>
      </c>
      <c r="AD39" s="139">
        <v>5.0999999999999996</v>
      </c>
      <c r="AE39" s="135">
        <v>4</v>
      </c>
      <c r="AF39" s="140">
        <v>9.8350000000000009</v>
      </c>
      <c r="AG39" s="357" t="s">
        <v>12</v>
      </c>
      <c r="AH39" s="357"/>
    </row>
    <row r="40" spans="3:34" ht="15.75" thickBot="1" x14ac:dyDescent="0.3">
      <c r="C40" s="10"/>
      <c r="D40" s="10"/>
      <c r="E40" s="10"/>
      <c r="F40" s="10"/>
      <c r="G40" s="10"/>
      <c r="H40" s="10"/>
      <c r="I40" s="10"/>
      <c r="K40" s="53">
        <v>1.2869123252858941</v>
      </c>
      <c r="L40" s="280">
        <v>23.970139968895808</v>
      </c>
      <c r="M40" s="47">
        <v>19.9282</v>
      </c>
      <c r="N40" s="47">
        <v>16.074999999999999</v>
      </c>
      <c r="O40" s="48">
        <v>19.675000000000001</v>
      </c>
      <c r="P40" s="321" t="s">
        <v>25</v>
      </c>
      <c r="Q40" s="321"/>
      <c r="S40" s="10"/>
      <c r="T40" s="10"/>
      <c r="U40" s="10"/>
      <c r="V40" s="10"/>
      <c r="W40" s="10"/>
      <c r="X40" s="11"/>
      <c r="Y40" s="141">
        <v>140</v>
      </c>
      <c r="Z40" s="150">
        <v>129</v>
      </c>
      <c r="AA40" s="151">
        <v>108.285</v>
      </c>
      <c r="AB40" s="144">
        <f t="shared" si="4"/>
        <v>23.970139968895808</v>
      </c>
      <c r="AC40" s="145">
        <f t="shared" si="5"/>
        <v>1.2869123252858941</v>
      </c>
      <c r="AD40" s="152">
        <v>19.9282</v>
      </c>
      <c r="AE40" s="150">
        <v>16.074999999999999</v>
      </c>
      <c r="AF40" s="153">
        <v>19.675000000000001</v>
      </c>
      <c r="AG40" s="379" t="s">
        <v>25</v>
      </c>
      <c r="AH40" s="379"/>
    </row>
    <row r="41" spans="3:34" ht="22.5" customHeight="1" thickBot="1" x14ac:dyDescent="0.3">
      <c r="C41" s="10"/>
      <c r="D41" s="10"/>
      <c r="E41" s="10"/>
      <c r="F41" s="10"/>
      <c r="G41" s="10"/>
      <c r="H41" s="10"/>
      <c r="I41" s="10"/>
      <c r="K41" s="81">
        <v>-0.11888846092470706</v>
      </c>
      <c r="L41" s="276">
        <v>-0.10405862333532168</v>
      </c>
      <c r="M41" s="82">
        <v>187.97098123150002</v>
      </c>
      <c r="N41" s="82">
        <v>209.8027684928</v>
      </c>
      <c r="O41" s="82">
        <v>213.33392299999997</v>
      </c>
      <c r="P41" s="297" t="s">
        <v>40</v>
      </c>
      <c r="Q41" s="298"/>
      <c r="R41" s="24"/>
      <c r="S41" s="10"/>
      <c r="T41" s="10"/>
      <c r="U41" s="10"/>
      <c r="V41" s="10"/>
      <c r="W41" s="10"/>
      <c r="X41" s="11"/>
      <c r="Y41" s="11"/>
      <c r="Z41" s="292" t="s">
        <v>55</v>
      </c>
      <c r="AA41" s="292"/>
      <c r="AB41" s="12"/>
      <c r="AC41" s="12"/>
      <c r="AD41" s="12"/>
      <c r="AE41" s="335" t="s">
        <v>61</v>
      </c>
      <c r="AF41" s="335"/>
      <c r="AG41" s="335"/>
      <c r="AH41" s="335"/>
    </row>
    <row r="42" spans="3:34" ht="19.5" customHeight="1" thickBot="1" x14ac:dyDescent="0.3">
      <c r="C42" s="10"/>
      <c r="D42" s="10"/>
      <c r="E42" s="10"/>
      <c r="F42" s="10"/>
      <c r="G42" s="10"/>
      <c r="H42" s="10"/>
      <c r="I42" s="10"/>
      <c r="J42" s="11"/>
      <c r="M42" s="24"/>
      <c r="S42" s="10"/>
      <c r="T42" s="10"/>
      <c r="U42" s="10"/>
      <c r="V42" s="10"/>
      <c r="W42" s="10"/>
      <c r="X42" s="11"/>
      <c r="Y42" s="348" t="s">
        <v>44</v>
      </c>
      <c r="Z42" s="349"/>
      <c r="AA42" s="350"/>
      <c r="AB42" s="351" t="s">
        <v>45</v>
      </c>
      <c r="AC42" s="352"/>
      <c r="AD42" s="353" t="s">
        <v>46</v>
      </c>
      <c r="AE42" s="354"/>
      <c r="AF42" s="355"/>
      <c r="AG42" s="358" t="s">
        <v>57</v>
      </c>
      <c r="AH42" s="358"/>
    </row>
    <row r="43" spans="3:34" ht="15.75" customHeight="1" thickBot="1" x14ac:dyDescent="0.3">
      <c r="C43" s="10"/>
      <c r="D43" s="10"/>
      <c r="E43" s="10"/>
      <c r="F43" s="10"/>
      <c r="G43" s="10"/>
      <c r="H43" s="10"/>
      <c r="I43" s="10"/>
      <c r="J43" s="11"/>
      <c r="S43" s="10"/>
      <c r="T43" s="10"/>
      <c r="U43" s="10"/>
      <c r="V43" s="10"/>
      <c r="W43" s="10"/>
      <c r="X43" s="11"/>
      <c r="Y43" s="97" t="s">
        <v>47</v>
      </c>
      <c r="Z43" s="98" t="s">
        <v>48</v>
      </c>
      <c r="AA43" s="99" t="s">
        <v>49</v>
      </c>
      <c r="AB43" s="100" t="s">
        <v>50</v>
      </c>
      <c r="AC43" s="101" t="s">
        <v>51</v>
      </c>
      <c r="AD43" s="102" t="s">
        <v>52</v>
      </c>
      <c r="AE43" s="98" t="s">
        <v>48</v>
      </c>
      <c r="AF43" s="103">
        <v>2010</v>
      </c>
      <c r="AG43" s="358"/>
      <c r="AH43" s="358"/>
    </row>
    <row r="44" spans="3:34" ht="19.5" customHeight="1" thickBot="1" x14ac:dyDescent="0.3">
      <c r="C44" s="10"/>
      <c r="D44" s="10"/>
      <c r="E44" s="10"/>
      <c r="F44" s="10"/>
      <c r="G44" s="10"/>
      <c r="H44" s="10"/>
      <c r="I44" s="10"/>
      <c r="J44" s="11"/>
      <c r="K44" s="333" t="s">
        <v>26</v>
      </c>
      <c r="L44" s="334"/>
      <c r="M44" s="344" t="s">
        <v>73</v>
      </c>
      <c r="N44" s="345"/>
      <c r="O44" s="346"/>
      <c r="P44" s="330" t="s">
        <v>31</v>
      </c>
      <c r="Q44" s="330"/>
      <c r="S44" s="10"/>
      <c r="T44" s="10"/>
      <c r="U44" s="10"/>
      <c r="V44" s="10"/>
      <c r="W44" s="10"/>
      <c r="X44" s="11"/>
      <c r="Y44" s="210">
        <v>6340</v>
      </c>
      <c r="Z44" s="211">
        <v>4037</v>
      </c>
      <c r="AA44" s="216">
        <v>4761.732</v>
      </c>
      <c r="AB44" s="227">
        <f>(AD44-AE44)*100/AE44</f>
        <v>22.443515229708609</v>
      </c>
      <c r="AC44" s="214">
        <f>(AD44-AF44)*100/AF44</f>
        <v>-47.344047943339696</v>
      </c>
      <c r="AD44" s="215">
        <v>630.15800000000002</v>
      </c>
      <c r="AE44" s="211">
        <v>514.65200000000004</v>
      </c>
      <c r="AF44" s="216">
        <v>1196.7460000000001</v>
      </c>
      <c r="AG44" s="378" t="s">
        <v>18</v>
      </c>
      <c r="AH44" s="378"/>
    </row>
    <row r="45" spans="3:34" ht="15.75" thickBot="1" x14ac:dyDescent="0.3">
      <c r="C45" s="10"/>
      <c r="D45" s="10"/>
      <c r="E45" s="10"/>
      <c r="F45" s="10"/>
      <c r="G45" s="10"/>
      <c r="H45" s="10"/>
      <c r="I45" s="10"/>
      <c r="K45" s="14" t="s">
        <v>67</v>
      </c>
      <c r="L45" s="13" t="s">
        <v>66</v>
      </c>
      <c r="M45" s="195">
        <v>2014</v>
      </c>
      <c r="N45" s="196">
        <v>2013</v>
      </c>
      <c r="O45" s="196">
        <v>2010</v>
      </c>
      <c r="P45" s="330"/>
      <c r="Q45" s="330"/>
      <c r="S45" s="10"/>
      <c r="T45" s="10"/>
      <c r="U45" s="10"/>
      <c r="V45" s="10"/>
      <c r="W45" s="10"/>
      <c r="X45" s="11"/>
      <c r="Y45" s="217"/>
      <c r="Z45" s="218"/>
      <c r="AA45" s="226"/>
      <c r="AB45" s="228"/>
      <c r="AC45" s="221"/>
      <c r="AD45" s="222"/>
      <c r="AE45" s="223"/>
      <c r="AF45" s="224"/>
      <c r="AG45" s="356" t="s">
        <v>5</v>
      </c>
      <c r="AH45" s="356"/>
    </row>
    <row r="46" spans="3:34" ht="15.75" thickBot="1" x14ac:dyDescent="0.3">
      <c r="C46" s="10"/>
      <c r="D46" s="10"/>
      <c r="E46" s="10"/>
      <c r="F46" s="10"/>
      <c r="G46" s="10"/>
      <c r="H46" s="10"/>
      <c r="I46" s="10"/>
      <c r="K46" s="89">
        <v>-47.344047943339696</v>
      </c>
      <c r="L46" s="286">
        <v>22.443515229708609</v>
      </c>
      <c r="M46" s="90">
        <v>630.15800000000002</v>
      </c>
      <c r="N46" s="91">
        <v>514.65200000000004</v>
      </c>
      <c r="O46" s="92">
        <v>1196.7460000000001</v>
      </c>
      <c r="P46" s="309" t="s">
        <v>18</v>
      </c>
      <c r="Q46" s="310"/>
      <c r="S46" s="10"/>
      <c r="T46" s="10"/>
      <c r="U46" s="10"/>
      <c r="V46" s="10"/>
      <c r="W46" s="10"/>
      <c r="X46" s="11"/>
      <c r="Y46" s="134">
        <v>50</v>
      </c>
      <c r="Z46" s="135">
        <v>117.331</v>
      </c>
      <c r="AA46" s="149">
        <v>101.898</v>
      </c>
      <c r="AB46" s="137">
        <f t="shared" ref="AB46:AB50" si="6">(AD46-AE46)*100/AE46</f>
        <v>54.183659119673756</v>
      </c>
      <c r="AC46" s="138">
        <f t="shared" ref="AC46:AC50" si="7">(AD46-AF46)*100/AF46</f>
        <v>19.877542094904868</v>
      </c>
      <c r="AD46" s="139">
        <v>21.928000000000001</v>
      </c>
      <c r="AE46" s="135">
        <v>14.222</v>
      </c>
      <c r="AF46" s="140">
        <v>18.292000000000002</v>
      </c>
      <c r="AG46" s="357" t="s">
        <v>10</v>
      </c>
      <c r="AH46" s="357"/>
    </row>
    <row r="47" spans="3:34" x14ac:dyDescent="0.25">
      <c r="C47" s="10"/>
      <c r="D47" s="10"/>
      <c r="E47" s="10"/>
      <c r="F47" s="10"/>
      <c r="G47" s="10"/>
      <c r="H47" s="10"/>
      <c r="I47" s="10"/>
      <c r="K47" s="49"/>
      <c r="L47" s="50"/>
      <c r="M47" s="43"/>
      <c r="N47" s="44"/>
      <c r="O47" s="45"/>
      <c r="P47" s="307" t="s">
        <v>5</v>
      </c>
      <c r="Q47" s="308"/>
      <c r="S47" s="10"/>
      <c r="T47" s="10"/>
      <c r="U47" s="10"/>
      <c r="V47" s="10"/>
      <c r="W47" s="10"/>
      <c r="X47" s="11"/>
      <c r="Y47" s="134">
        <v>30</v>
      </c>
      <c r="Z47" s="135">
        <v>24.48</v>
      </c>
      <c r="AA47" s="149">
        <v>27.99</v>
      </c>
      <c r="AB47" s="137">
        <f t="shared" si="6"/>
        <v>-78.175313059033982</v>
      </c>
      <c r="AC47" s="138">
        <f t="shared" si="7"/>
        <v>-80.448717948717956</v>
      </c>
      <c r="AD47" s="138">
        <v>0.48799999999999999</v>
      </c>
      <c r="AE47" s="154">
        <v>2.2360000000000002</v>
      </c>
      <c r="AF47" s="155">
        <v>2.496</v>
      </c>
      <c r="AG47" s="357" t="s">
        <v>23</v>
      </c>
      <c r="AH47" s="357"/>
    </row>
    <row r="48" spans="3:34" x14ac:dyDescent="0.25">
      <c r="C48" s="10"/>
      <c r="D48" s="10"/>
      <c r="E48" s="10"/>
      <c r="F48" s="10"/>
      <c r="G48" s="10"/>
      <c r="H48" s="10"/>
      <c r="I48" s="10"/>
      <c r="K48" s="51">
        <v>19.877542094904868</v>
      </c>
      <c r="L48" s="279">
        <v>54.183659119673756</v>
      </c>
      <c r="M48" s="46">
        <v>21.928000000000001</v>
      </c>
      <c r="N48" s="46">
        <v>14.222</v>
      </c>
      <c r="O48" s="46">
        <v>18.292000000000002</v>
      </c>
      <c r="P48" s="305" t="s">
        <v>10</v>
      </c>
      <c r="Q48" s="306"/>
      <c r="S48" s="10"/>
      <c r="T48" s="10"/>
      <c r="U48" s="10"/>
      <c r="V48" s="10"/>
      <c r="W48" s="10"/>
      <c r="X48" s="11"/>
      <c r="Y48" s="134">
        <v>60</v>
      </c>
      <c r="Z48" s="135">
        <v>78.167000000000002</v>
      </c>
      <c r="AA48" s="149">
        <v>97.430999999999997</v>
      </c>
      <c r="AB48" s="137">
        <f t="shared" si="6"/>
        <v>45.25993883792048</v>
      </c>
      <c r="AC48" s="138">
        <f t="shared" si="7"/>
        <v>4.6111493461803166</v>
      </c>
      <c r="AD48" s="139">
        <v>7.6</v>
      </c>
      <c r="AE48" s="156">
        <v>5.2320000000000002</v>
      </c>
      <c r="AF48" s="140">
        <v>7.2649999999999997</v>
      </c>
      <c r="AG48" s="357" t="s">
        <v>58</v>
      </c>
      <c r="AH48" s="357"/>
    </row>
    <row r="49" spans="3:34" x14ac:dyDescent="0.25">
      <c r="C49" s="10"/>
      <c r="D49" s="10"/>
      <c r="E49" s="10"/>
      <c r="F49" s="10"/>
      <c r="G49" s="10"/>
      <c r="H49" s="10"/>
      <c r="I49" s="10"/>
      <c r="K49" s="51">
        <v>-80.448717948717956</v>
      </c>
      <c r="L49" s="52">
        <v>-78.175313059033982</v>
      </c>
      <c r="M49" s="277">
        <v>0.48799999999999999</v>
      </c>
      <c r="N49" s="46">
        <v>2.2360000000000002</v>
      </c>
      <c r="O49" s="46">
        <v>2.496</v>
      </c>
      <c r="P49" s="299" t="s">
        <v>23</v>
      </c>
      <c r="Q49" s="300"/>
      <c r="S49" s="10"/>
      <c r="T49" s="10"/>
      <c r="U49" s="10"/>
      <c r="V49" s="10"/>
      <c r="W49" s="10"/>
      <c r="X49" s="11"/>
      <c r="Y49" s="134">
        <v>15</v>
      </c>
      <c r="Z49" s="135">
        <v>23.949000000000002</v>
      </c>
      <c r="AA49" s="149">
        <v>25.045999999999999</v>
      </c>
      <c r="AB49" s="137">
        <f t="shared" si="6"/>
        <v>-23.874904652936682</v>
      </c>
      <c r="AC49" s="138">
        <f t="shared" si="7"/>
        <v>-14.138227702896469</v>
      </c>
      <c r="AD49" s="139">
        <v>2.9940000000000002</v>
      </c>
      <c r="AE49" s="156">
        <v>3.9329999999999998</v>
      </c>
      <c r="AF49" s="140">
        <v>3.4870000000000001</v>
      </c>
      <c r="AG49" s="357" t="s">
        <v>12</v>
      </c>
      <c r="AH49" s="357"/>
    </row>
    <row r="50" spans="3:34" ht="15.75" thickBot="1" x14ac:dyDescent="0.3">
      <c r="C50" s="10"/>
      <c r="D50" s="10"/>
      <c r="E50" s="10"/>
      <c r="F50" s="10"/>
      <c r="G50" s="10"/>
      <c r="H50" s="10"/>
      <c r="I50" s="10"/>
      <c r="K50" s="51">
        <v>4.6111493461803166</v>
      </c>
      <c r="L50" s="279">
        <v>45.25993883792048</v>
      </c>
      <c r="M50" s="46">
        <v>7.6</v>
      </c>
      <c r="N50" s="46">
        <v>5.2320000000000002</v>
      </c>
      <c r="O50" s="46">
        <v>7.2649999999999997</v>
      </c>
      <c r="P50" s="299" t="s">
        <v>11</v>
      </c>
      <c r="Q50" s="300"/>
      <c r="S50" s="10"/>
      <c r="T50" s="10"/>
      <c r="U50" s="10"/>
      <c r="V50" s="10"/>
      <c r="W50" s="10"/>
      <c r="X50" s="11"/>
      <c r="Y50" s="141">
        <v>5</v>
      </c>
      <c r="Z50" s="157">
        <v>4.6900000000000004</v>
      </c>
      <c r="AA50" s="158">
        <v>3.7549999999999999</v>
      </c>
      <c r="AB50" s="144">
        <f t="shared" si="6"/>
        <v>-22.559171597633146</v>
      </c>
      <c r="AC50" s="145">
        <f t="shared" si="7"/>
        <v>-41.508379888268159</v>
      </c>
      <c r="AD50" s="159">
        <v>0.52349999999999997</v>
      </c>
      <c r="AE50" s="160">
        <v>0.67600000000000005</v>
      </c>
      <c r="AF50" s="161">
        <v>0.89500000000000002</v>
      </c>
      <c r="AG50" s="367" t="s">
        <v>24</v>
      </c>
      <c r="AH50" s="367"/>
    </row>
    <row r="51" spans="3:34" ht="18.75" customHeight="1" thickBot="1" x14ac:dyDescent="0.3">
      <c r="C51" s="10"/>
      <c r="D51" s="10"/>
      <c r="E51" s="10"/>
      <c r="F51" s="10"/>
      <c r="G51" s="10"/>
      <c r="H51" s="10"/>
      <c r="I51" s="10"/>
      <c r="K51" s="51">
        <v>-14.138227702896469</v>
      </c>
      <c r="L51" s="52">
        <v>-23.874904652936682</v>
      </c>
      <c r="M51" s="46">
        <v>2.9940000000000002</v>
      </c>
      <c r="N51" s="46">
        <v>3.9329999999999998</v>
      </c>
      <c r="O51" s="46">
        <v>3.4870000000000001</v>
      </c>
      <c r="P51" s="299" t="s">
        <v>12</v>
      </c>
      <c r="Q51" s="300"/>
      <c r="S51" s="10"/>
      <c r="T51" s="10"/>
      <c r="U51" s="10"/>
      <c r="V51" s="10"/>
      <c r="W51" s="10"/>
      <c r="X51" s="11"/>
      <c r="Y51" s="11"/>
      <c r="Z51" s="292" t="s">
        <v>42</v>
      </c>
      <c r="AA51" s="292"/>
      <c r="AB51" s="12"/>
      <c r="AC51" s="368" t="s">
        <v>62</v>
      </c>
      <c r="AD51" s="368"/>
      <c r="AE51" s="368"/>
      <c r="AF51" s="368"/>
      <c r="AG51" s="368"/>
      <c r="AH51" s="368"/>
    </row>
    <row r="52" spans="3:34" ht="18.75" customHeight="1" thickBot="1" x14ac:dyDescent="0.3">
      <c r="C52" s="10"/>
      <c r="D52" s="10"/>
      <c r="E52" s="10"/>
      <c r="F52" s="10"/>
      <c r="G52" s="10"/>
      <c r="H52" s="10"/>
      <c r="I52" s="10"/>
      <c r="K52" s="53">
        <v>-41.508379888268159</v>
      </c>
      <c r="L52" s="180">
        <v>-22.559171597633146</v>
      </c>
      <c r="M52" s="47">
        <v>0.52349999999999997</v>
      </c>
      <c r="N52" s="47">
        <v>0.67600000000000005</v>
      </c>
      <c r="O52" s="48">
        <v>0.89500000000000002</v>
      </c>
      <c r="P52" s="293" t="s">
        <v>24</v>
      </c>
      <c r="Q52" s="294"/>
      <c r="S52" s="10"/>
      <c r="T52" s="10"/>
      <c r="U52" s="10"/>
      <c r="V52" s="10"/>
      <c r="W52" s="10"/>
      <c r="X52" s="11"/>
      <c r="Y52" s="348" t="s">
        <v>44</v>
      </c>
      <c r="Z52" s="349"/>
      <c r="AA52" s="350"/>
      <c r="AB52" s="351" t="s">
        <v>45</v>
      </c>
      <c r="AC52" s="352"/>
      <c r="AD52" s="353" t="s">
        <v>71</v>
      </c>
      <c r="AE52" s="354"/>
      <c r="AF52" s="355"/>
      <c r="AG52" s="358" t="s">
        <v>57</v>
      </c>
      <c r="AH52" s="358"/>
    </row>
    <row r="53" spans="3:34" ht="15.75" customHeight="1" thickBot="1" x14ac:dyDescent="0.3">
      <c r="C53" s="10"/>
      <c r="D53" s="10"/>
      <c r="E53" s="10"/>
      <c r="F53" s="10"/>
      <c r="G53" s="10"/>
      <c r="H53" s="10"/>
      <c r="I53" s="10"/>
      <c r="K53" s="189">
        <v>-0.28901061752787827</v>
      </c>
      <c r="L53" s="80">
        <v>-0.46209163934319808</v>
      </c>
      <c r="M53" s="84">
        <v>73.116436031000006</v>
      </c>
      <c r="N53" s="84">
        <v>135.92730914559999</v>
      </c>
      <c r="O53" s="84">
        <v>102.837592</v>
      </c>
      <c r="P53" s="295" t="s">
        <v>34</v>
      </c>
      <c r="Q53" s="296"/>
      <c r="S53" s="10"/>
      <c r="T53" s="10"/>
      <c r="U53" s="10"/>
      <c r="V53" s="10"/>
      <c r="W53" s="10"/>
      <c r="X53" s="11"/>
      <c r="Y53" s="97" t="s">
        <v>47</v>
      </c>
      <c r="Z53" s="98" t="s">
        <v>48</v>
      </c>
      <c r="AA53" s="99" t="s">
        <v>49</v>
      </c>
      <c r="AB53" s="100" t="s">
        <v>50</v>
      </c>
      <c r="AC53" s="101" t="s">
        <v>51</v>
      </c>
      <c r="AD53" s="102" t="s">
        <v>52</v>
      </c>
      <c r="AE53" s="98" t="s">
        <v>48</v>
      </c>
      <c r="AF53" s="103">
        <v>2010</v>
      </c>
      <c r="AG53" s="358"/>
      <c r="AH53" s="358"/>
    </row>
    <row r="54" spans="3:34" x14ac:dyDescent="0.25">
      <c r="C54" s="10"/>
      <c r="D54" s="10"/>
      <c r="E54" s="10"/>
      <c r="F54" s="10"/>
      <c r="G54" s="10"/>
      <c r="H54" s="10"/>
      <c r="I54" s="10"/>
      <c r="J54" s="11"/>
      <c r="K54" s="78">
        <f>M54/N54-1</f>
        <v>0.27508650519031153</v>
      </c>
      <c r="L54" s="11"/>
      <c r="M54" s="76">
        <f>SUM(M48:M52)</f>
        <v>33.533499999999997</v>
      </c>
      <c r="N54" s="76">
        <f t="shared" ref="N54:O54" si="8">SUM(N48:N52)</f>
        <v>26.298999999999996</v>
      </c>
      <c r="O54" s="76">
        <f t="shared" si="8"/>
        <v>32.435000000000002</v>
      </c>
      <c r="P54" s="11"/>
      <c r="Q54" s="11"/>
      <c r="S54" s="10"/>
      <c r="T54" s="10"/>
      <c r="U54" s="10"/>
      <c r="V54" s="10"/>
      <c r="W54" s="10"/>
      <c r="X54" s="11"/>
      <c r="Y54" s="162">
        <f>1340*90/1000</f>
        <v>120.6</v>
      </c>
      <c r="Z54" s="163">
        <f>1153*126.51/1000</f>
        <v>145.86602999999999</v>
      </c>
      <c r="AA54" s="164">
        <f>1070*192/1000</f>
        <v>205.44</v>
      </c>
      <c r="AB54" s="165">
        <f>(AD54-AE54)*100/AE54</f>
        <v>-89.694000761099289</v>
      </c>
      <c r="AC54" s="166">
        <f>(AD54-AF54)*100/AF54</f>
        <v>-66.210326626948245</v>
      </c>
      <c r="AD54" s="167">
        <f>31499.918*88/1000000</f>
        <v>2.771992784</v>
      </c>
      <c r="AE54" s="163">
        <f>145.83*184.44/1000</f>
        <v>26.8968852</v>
      </c>
      <c r="AF54" s="164">
        <f>133.632*61.39/1000</f>
        <v>8.203668480000001</v>
      </c>
      <c r="AG54" s="369" t="s">
        <v>63</v>
      </c>
      <c r="AH54" s="369"/>
    </row>
    <row r="55" spans="3:34" ht="15.75" thickBot="1" x14ac:dyDescent="0.3">
      <c r="C55" s="10"/>
      <c r="D55" s="10"/>
      <c r="E55" s="10"/>
      <c r="F55" s="10"/>
      <c r="G55" s="10"/>
      <c r="H55" s="10"/>
      <c r="I55" s="10"/>
      <c r="J55" s="11"/>
      <c r="K55" s="11"/>
      <c r="L55" s="11"/>
      <c r="M55" s="77"/>
      <c r="N55" s="11"/>
      <c r="O55" s="11"/>
      <c r="P55" s="11"/>
      <c r="Q55" s="11"/>
      <c r="S55" s="10"/>
      <c r="T55" s="10"/>
      <c r="U55" s="10"/>
      <c r="V55" s="10"/>
      <c r="W55" s="10"/>
      <c r="X55" s="11"/>
      <c r="Y55" s="141">
        <f>300*490/1000</f>
        <v>147</v>
      </c>
      <c r="Z55" s="142">
        <f>227*495.97/1000</f>
        <v>112.58519</v>
      </c>
      <c r="AA55" s="147">
        <f>227*552/1000</f>
        <v>125.304</v>
      </c>
      <c r="AB55" s="229" t="s">
        <v>72</v>
      </c>
      <c r="AC55" s="168">
        <f>(AD55-AF55)*100/AF55</f>
        <v>-34.161464877843159</v>
      </c>
      <c r="AD55" s="169">
        <f>46646.524*445.67/1000000</f>
        <v>20.78895635108</v>
      </c>
      <c r="AE55" s="142">
        <f>17.334*596.33/1000</f>
        <v>10.336784220000002</v>
      </c>
      <c r="AF55" s="147">
        <f>97.129*325.09/1000</f>
        <v>31.575666609999999</v>
      </c>
      <c r="AG55" s="370" t="s">
        <v>64</v>
      </c>
      <c r="AH55" s="370"/>
    </row>
    <row r="56" spans="3:34" ht="16.5" thickBot="1" x14ac:dyDescent="0.3">
      <c r="C56" s="10"/>
      <c r="D56" s="10"/>
      <c r="E56" s="10"/>
      <c r="F56" s="10"/>
      <c r="G56" s="10"/>
      <c r="H56" s="10"/>
      <c r="I56" s="10"/>
      <c r="J56" s="11"/>
      <c r="K56" s="11"/>
      <c r="L56" s="11"/>
      <c r="M56" s="77">
        <f>M48/M54</f>
        <v>0.65391325092817643</v>
      </c>
      <c r="N56" s="11"/>
      <c r="O56" s="11"/>
      <c r="P56" s="11"/>
      <c r="Q56" s="11"/>
      <c r="S56" s="10"/>
      <c r="T56" s="10"/>
      <c r="U56" s="10"/>
      <c r="V56" s="10"/>
      <c r="W56" s="10"/>
      <c r="X56" s="11"/>
      <c r="Y56" s="170">
        <f>SUM(Y54:Y55)</f>
        <v>267.60000000000002</v>
      </c>
      <c r="Z56" s="171">
        <f>SUM(Z54:Z55)</f>
        <v>258.45121999999998</v>
      </c>
      <c r="AA56" s="172">
        <f>SUM(AA54:AA55)</f>
        <v>330.74400000000003</v>
      </c>
      <c r="AB56" s="173">
        <f>(AD56-AE56)*100/AE56</f>
        <v>-36.721388189517846</v>
      </c>
      <c r="AC56" s="174">
        <f>(AD56-AF56)*100/AF56</f>
        <v>-40.770882465044238</v>
      </c>
      <c r="AD56" s="171">
        <f>SUM(AD54:AD55)</f>
        <v>23.560949135080001</v>
      </c>
      <c r="AE56" s="175">
        <f>SUM(AE54:AE55)</f>
        <v>37.233669419999998</v>
      </c>
      <c r="AF56" s="172">
        <f>SUM(AF54:AF55)</f>
        <v>39.779335090000004</v>
      </c>
      <c r="AG56" s="347" t="s">
        <v>13</v>
      </c>
      <c r="AH56" s="347"/>
    </row>
    <row r="57" spans="3:34" x14ac:dyDescent="0.25"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6"/>
      <c r="N57" s="16"/>
      <c r="O57" s="16"/>
      <c r="P57" s="16"/>
      <c r="Q57" s="16"/>
      <c r="S57" s="10"/>
      <c r="T57" s="10"/>
      <c r="U57" s="10"/>
      <c r="V57" s="10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3:34" ht="18.75" x14ac:dyDescent="0.25">
      <c r="S58" s="15"/>
      <c r="T58" s="15"/>
      <c r="U58" s="15"/>
      <c r="V58" s="15"/>
      <c r="W58" s="15"/>
      <c r="X58" s="15"/>
      <c r="Y58" s="15"/>
      <c r="Z58" s="15"/>
      <c r="AA58" s="366"/>
      <c r="AB58" s="366"/>
      <c r="AC58" s="366"/>
      <c r="AD58" s="366"/>
      <c r="AE58" s="366"/>
      <c r="AF58" s="366"/>
      <c r="AG58" s="366"/>
      <c r="AH58" s="366"/>
    </row>
  </sheetData>
  <mergeCells count="122">
    <mergeCell ref="AG44:AH44"/>
    <mergeCell ref="AG38:AH38"/>
    <mergeCell ref="AG39:AH39"/>
    <mergeCell ref="AG36:AH36"/>
    <mergeCell ref="AG37:AH37"/>
    <mergeCell ref="AG20:AH20"/>
    <mergeCell ref="AG21:AH21"/>
    <mergeCell ref="AG22:AH22"/>
    <mergeCell ref="AG23:AH23"/>
    <mergeCell ref="AG24:AH24"/>
    <mergeCell ref="AG35:AH35"/>
    <mergeCell ref="AG40:AH40"/>
    <mergeCell ref="AG32:AH33"/>
    <mergeCell ref="AG34:AH34"/>
    <mergeCell ref="Z41:AA41"/>
    <mergeCell ref="AE41:AH41"/>
    <mergeCell ref="Y42:AA42"/>
    <mergeCell ref="AB42:AC42"/>
    <mergeCell ref="AD42:AF42"/>
    <mergeCell ref="AG42:AH43"/>
    <mergeCell ref="AD32:AF32"/>
    <mergeCell ref="AG7:AH7"/>
    <mergeCell ref="AG8:AH8"/>
    <mergeCell ref="AG9:AH9"/>
    <mergeCell ref="AG10:AH10"/>
    <mergeCell ref="AG11:AH11"/>
    <mergeCell ref="AG12:AH12"/>
    <mergeCell ref="AG13:AH13"/>
    <mergeCell ref="AG25:AH25"/>
    <mergeCell ref="AG26:AH26"/>
    <mergeCell ref="AB27:AH27"/>
    <mergeCell ref="AG30:AH30"/>
    <mergeCell ref="Z31:AA31"/>
    <mergeCell ref="AD31:AH31"/>
    <mergeCell ref="Y32:AA32"/>
    <mergeCell ref="AB32:AC32"/>
    <mergeCell ref="AD18:AF18"/>
    <mergeCell ref="AG18:AH19"/>
    <mergeCell ref="AA58:AH58"/>
    <mergeCell ref="AG49:AH49"/>
    <mergeCell ref="AG50:AH50"/>
    <mergeCell ref="Z51:AA51"/>
    <mergeCell ref="AC51:AH51"/>
    <mergeCell ref="Y52:AA52"/>
    <mergeCell ref="AB52:AC52"/>
    <mergeCell ref="AD52:AF52"/>
    <mergeCell ref="AG52:AH53"/>
    <mergeCell ref="AG54:AH54"/>
    <mergeCell ref="AG55:AH55"/>
    <mergeCell ref="AG56:AH56"/>
    <mergeCell ref="AG45:AH45"/>
    <mergeCell ref="AG46:AH46"/>
    <mergeCell ref="AG47:AH47"/>
    <mergeCell ref="AG48:AH48"/>
    <mergeCell ref="AG5:AH6"/>
    <mergeCell ref="K44:L44"/>
    <mergeCell ref="P44:Q45"/>
    <mergeCell ref="P37:Q37"/>
    <mergeCell ref="P38:Q38"/>
    <mergeCell ref="P24:Q24"/>
    <mergeCell ref="P25:Q25"/>
    <mergeCell ref="P26:Q26"/>
    <mergeCell ref="L31:M31"/>
    <mergeCell ref="K32:L32"/>
    <mergeCell ref="P32:Q33"/>
    <mergeCell ref="P34:Q34"/>
    <mergeCell ref="P35:Q35"/>
    <mergeCell ref="P36:Q36"/>
    <mergeCell ref="M32:O32"/>
    <mergeCell ref="M44:O44"/>
    <mergeCell ref="Z17:AA17"/>
    <mergeCell ref="AG17:AH17"/>
    <mergeCell ref="Y18:AA18"/>
    <mergeCell ref="AB18:AC18"/>
    <mergeCell ref="P18:Q19"/>
    <mergeCell ref="P20:Q20"/>
    <mergeCell ref="P21:Q21"/>
    <mergeCell ref="P22:Q22"/>
    <mergeCell ref="K18:L18"/>
    <mergeCell ref="Z4:AA4"/>
    <mergeCell ref="AD4:AH4"/>
    <mergeCell ref="S1:AH1"/>
    <mergeCell ref="S2:AH2"/>
    <mergeCell ref="S3:AH3"/>
    <mergeCell ref="C2:Q2"/>
    <mergeCell ref="C3:Q3"/>
    <mergeCell ref="M4:Q4"/>
    <mergeCell ref="K5:L5"/>
    <mergeCell ref="P7:Q7"/>
    <mergeCell ref="C1:Q1"/>
    <mergeCell ref="AG15:AH15"/>
    <mergeCell ref="Z16:AH16"/>
    <mergeCell ref="M5:O5"/>
    <mergeCell ref="M18:O18"/>
    <mergeCell ref="AG14:AH14"/>
    <mergeCell ref="Y5:AA5"/>
    <mergeCell ref="AB5:AC5"/>
    <mergeCell ref="AD5:AF5"/>
    <mergeCell ref="AB4:AC4"/>
    <mergeCell ref="P52:Q52"/>
    <mergeCell ref="P53:Q53"/>
    <mergeCell ref="P41:Q41"/>
    <mergeCell ref="P50:Q50"/>
    <mergeCell ref="P49:Q49"/>
    <mergeCell ref="P51:Q51"/>
    <mergeCell ref="P5:Q6"/>
    <mergeCell ref="P48:Q48"/>
    <mergeCell ref="P47:Q47"/>
    <mergeCell ref="P46:Q46"/>
    <mergeCell ref="P8:Q8"/>
    <mergeCell ref="P9:Q9"/>
    <mergeCell ref="P10:Q10"/>
    <mergeCell ref="P12:Q12"/>
    <mergeCell ref="P11:Q11"/>
    <mergeCell ref="P17:Q17"/>
    <mergeCell ref="P39:Q39"/>
    <mergeCell ref="P40:Q40"/>
    <mergeCell ref="P14:Q14"/>
    <mergeCell ref="P15:Q15"/>
    <mergeCell ref="K16:Q16"/>
    <mergeCell ref="P13:Q13"/>
    <mergeCell ref="P23:Q2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1"/>
  <sheetViews>
    <sheetView tabSelected="1" zoomScale="60" zoomScaleNormal="60" workbookViewId="0">
      <selection activeCell="O21" sqref="O21"/>
    </sheetView>
  </sheetViews>
  <sheetFormatPr baseColWidth="10" defaultRowHeight="15" x14ac:dyDescent="0.25"/>
  <cols>
    <col min="2" max="2" width="25" customWidth="1"/>
    <col min="3" max="3" width="22.28515625" customWidth="1"/>
    <col min="4" max="7" width="16.28515625" customWidth="1"/>
    <col min="8" max="8" width="15.5703125" style="191" customWidth="1"/>
    <col min="16" max="16" width="21.85546875" customWidth="1"/>
  </cols>
  <sheetData>
    <row r="3" spans="1:16" ht="15.75" thickBot="1" x14ac:dyDescent="0.3"/>
    <row r="4" spans="1:16" ht="16.5" thickBot="1" x14ac:dyDescent="0.3">
      <c r="A4" s="386" t="s">
        <v>80</v>
      </c>
      <c r="B4" s="386"/>
      <c r="C4" s="383" t="s">
        <v>75</v>
      </c>
      <c r="D4" s="383" t="s">
        <v>76</v>
      </c>
      <c r="E4" s="383" t="s">
        <v>77</v>
      </c>
      <c r="F4" s="381" t="s">
        <v>67</v>
      </c>
      <c r="G4" s="380" t="s">
        <v>66</v>
      </c>
      <c r="J4" s="333" t="s">
        <v>26</v>
      </c>
      <c r="K4" s="334"/>
      <c r="L4" s="344" t="s">
        <v>73</v>
      </c>
      <c r="M4" s="345"/>
      <c r="N4" s="346"/>
      <c r="O4" s="301" t="s">
        <v>17</v>
      </c>
      <c r="P4" s="302"/>
    </row>
    <row r="5" spans="1:16" ht="18.75" customHeight="1" thickBot="1" x14ac:dyDescent="0.3">
      <c r="A5" s="386"/>
      <c r="B5" s="386"/>
      <c r="C5" s="383"/>
      <c r="D5" s="383"/>
      <c r="E5" s="383"/>
      <c r="F5" s="381"/>
      <c r="G5" s="380"/>
      <c r="J5" s="13" t="s">
        <v>66</v>
      </c>
      <c r="K5" s="14" t="s">
        <v>67</v>
      </c>
      <c r="L5" s="195">
        <v>2014</v>
      </c>
      <c r="M5" s="196">
        <v>2013</v>
      </c>
      <c r="N5" s="196">
        <v>2010</v>
      </c>
      <c r="O5" s="303"/>
      <c r="P5" s="304"/>
    </row>
    <row r="6" spans="1:16" ht="21" x14ac:dyDescent="0.35">
      <c r="A6" s="387" t="s">
        <v>1</v>
      </c>
      <c r="B6" s="387"/>
      <c r="C6" s="238">
        <f>Mines!O7</f>
        <v>110.66732049999999</v>
      </c>
      <c r="D6" s="238">
        <f>Mines!N7</f>
        <v>136.60503088959999</v>
      </c>
      <c r="E6" s="238">
        <f>Mines!M7</f>
        <v>75.477023984499994</v>
      </c>
      <c r="F6" s="239">
        <f t="shared" ref="F6:F13" si="0">E6/C6-1</f>
        <v>-0.31798272838366948</v>
      </c>
      <c r="G6" s="237">
        <f t="shared" ref="G6:G13" si="1">E6/D6-1</f>
        <v>-0.44747990983217723</v>
      </c>
      <c r="J6" s="54">
        <v>-0.44747990983217723</v>
      </c>
      <c r="K6" s="66">
        <v>-0.31798272838366948</v>
      </c>
      <c r="L6" s="35">
        <v>75.477023984499994</v>
      </c>
      <c r="M6" s="35">
        <v>136.60503088959999</v>
      </c>
      <c r="N6" s="36">
        <v>110.66732049999999</v>
      </c>
      <c r="O6" s="342" t="s">
        <v>18</v>
      </c>
      <c r="P6" s="342"/>
    </row>
    <row r="7" spans="1:16" ht="21" x14ac:dyDescent="0.35">
      <c r="A7" s="194" t="s">
        <v>0</v>
      </c>
      <c r="B7" s="5" t="s">
        <v>3</v>
      </c>
      <c r="C7" s="230">
        <v>7.8297284999999999</v>
      </c>
      <c r="D7" s="230">
        <v>0.67772174399999996</v>
      </c>
      <c r="E7" s="230">
        <v>2.3605879535000001</v>
      </c>
      <c r="F7" s="27">
        <f t="shared" si="0"/>
        <v>-0.69850960304690002</v>
      </c>
      <c r="G7" s="27">
        <f t="shared" si="1"/>
        <v>2.4831226449479247</v>
      </c>
      <c r="J7" s="188">
        <v>2.4831226449479247</v>
      </c>
      <c r="K7" s="55">
        <v>-0.69850960304690002</v>
      </c>
      <c r="L7" s="445">
        <v>2.3605879535000001</v>
      </c>
      <c r="M7" s="445">
        <v>0.67772174399999996</v>
      </c>
      <c r="N7" s="446">
        <v>7.8297284999999999</v>
      </c>
      <c r="O7" s="311" t="s">
        <v>19</v>
      </c>
      <c r="P7" s="311"/>
    </row>
    <row r="8" spans="1:16" ht="21.75" thickBot="1" x14ac:dyDescent="0.4">
      <c r="A8" s="194" t="s">
        <v>0</v>
      </c>
      <c r="B8" s="5" t="s">
        <v>4</v>
      </c>
      <c r="C8" s="192">
        <v>102.837592</v>
      </c>
      <c r="D8" s="192">
        <v>135.92730914559999</v>
      </c>
      <c r="E8" s="192">
        <v>73.116436031000006</v>
      </c>
      <c r="F8" s="27">
        <f t="shared" si="0"/>
        <v>-0.28901061752787827</v>
      </c>
      <c r="G8" s="26">
        <f t="shared" si="1"/>
        <v>-0.46209163934319808</v>
      </c>
      <c r="J8" s="188">
        <v>-0.46209163934319808</v>
      </c>
      <c r="K8" s="55">
        <v>-0.28901061752787827</v>
      </c>
      <c r="L8" s="37">
        <v>73.116436031000006</v>
      </c>
      <c r="M8" s="37">
        <v>135.92730914559999</v>
      </c>
      <c r="N8" s="38">
        <v>102.837592</v>
      </c>
      <c r="O8" s="312" t="s">
        <v>34</v>
      </c>
      <c r="P8" s="312"/>
    </row>
    <row r="9" spans="1:16" ht="21" x14ac:dyDescent="0.35">
      <c r="A9" s="387" t="s">
        <v>2</v>
      </c>
      <c r="B9" s="387"/>
      <c r="C9" s="238">
        <f>Mines!O10</f>
        <v>248.99782599999998</v>
      </c>
      <c r="D9" s="238">
        <f>Mines!N10</f>
        <v>252.8075003328</v>
      </c>
      <c r="E9" s="238">
        <f>Mines!M10</f>
        <v>248.63856501800001</v>
      </c>
      <c r="F9" s="239">
        <f t="shared" si="0"/>
        <v>-1.4428277859741545E-3</v>
      </c>
      <c r="G9" s="237">
        <f t="shared" si="1"/>
        <v>-1.6490552334531006E-2</v>
      </c>
      <c r="J9" s="54">
        <v>-1.6490552334531006E-2</v>
      </c>
      <c r="K9" s="66">
        <v>-1.4428277859741545E-3</v>
      </c>
      <c r="L9" s="35">
        <v>248.63856501800001</v>
      </c>
      <c r="M9" s="35">
        <v>252.8075003328</v>
      </c>
      <c r="N9" s="36">
        <v>248.99782599999998</v>
      </c>
      <c r="O9" s="313" t="s">
        <v>5</v>
      </c>
      <c r="P9" s="314"/>
    </row>
    <row r="10" spans="1:16" ht="21" x14ac:dyDescent="0.35">
      <c r="A10" s="2" t="s">
        <v>0</v>
      </c>
      <c r="B10" s="3" t="s">
        <v>3</v>
      </c>
      <c r="C10" s="192">
        <v>213.33392299999997</v>
      </c>
      <c r="D10" s="192">
        <v>209.8027684928</v>
      </c>
      <c r="E10" s="192">
        <v>187.97098123150002</v>
      </c>
      <c r="F10" s="4">
        <f t="shared" si="0"/>
        <v>-0.11888846092470706</v>
      </c>
      <c r="G10" s="26">
        <f t="shared" si="1"/>
        <v>-0.10405862333532168</v>
      </c>
      <c r="J10" s="182">
        <v>-0.10405862333532168</v>
      </c>
      <c r="K10" s="55">
        <v>-0.11888846092470706</v>
      </c>
      <c r="L10" s="95">
        <v>187.97098123150002</v>
      </c>
      <c r="M10" s="95">
        <v>209.8027684928</v>
      </c>
      <c r="N10" s="96">
        <v>213.33392299999997</v>
      </c>
      <c r="O10" s="317" t="s">
        <v>33</v>
      </c>
      <c r="P10" s="318"/>
    </row>
    <row r="11" spans="1:16" ht="21.75" thickBot="1" x14ac:dyDescent="0.4">
      <c r="A11" s="2" t="s">
        <v>0</v>
      </c>
      <c r="B11" s="3" t="s">
        <v>4</v>
      </c>
      <c r="C11" s="192">
        <v>35.663903000000005</v>
      </c>
      <c r="D11" s="192">
        <v>43.004731839999984</v>
      </c>
      <c r="E11" s="192">
        <v>60.667583786500003</v>
      </c>
      <c r="F11" s="4">
        <f t="shared" si="0"/>
        <v>0.70109210387040344</v>
      </c>
      <c r="G11" s="27">
        <f t="shared" si="1"/>
        <v>0.410718802112638</v>
      </c>
      <c r="J11" s="182">
        <v>0.410718802112638</v>
      </c>
      <c r="K11" s="55">
        <v>0.70109210387040344</v>
      </c>
      <c r="L11" s="37">
        <v>60.667583786500003</v>
      </c>
      <c r="M11" s="37">
        <v>43.004731839999984</v>
      </c>
      <c r="N11" s="38">
        <v>35.663903000000005</v>
      </c>
      <c r="O11" s="315" t="s">
        <v>20</v>
      </c>
      <c r="P11" s="316"/>
    </row>
    <row r="12" spans="1:16" ht="21.75" thickBot="1" x14ac:dyDescent="0.4">
      <c r="A12" s="388" t="s">
        <v>81</v>
      </c>
      <c r="B12" s="388"/>
      <c r="C12" s="238">
        <v>256.82755450000002</v>
      </c>
      <c r="D12" s="238">
        <v>253.48522207679997</v>
      </c>
      <c r="E12" s="238">
        <v>250.9991529715</v>
      </c>
      <c r="F12" s="239">
        <f t="shared" si="0"/>
        <v>-2.2693832598480124E-2</v>
      </c>
      <c r="G12" s="237">
        <f t="shared" si="1"/>
        <v>-9.8075504557293414E-3</v>
      </c>
      <c r="J12" s="177">
        <v>-9.8075504557293414E-3</v>
      </c>
      <c r="K12" s="67">
        <v>-2.2693832598480124E-2</v>
      </c>
      <c r="L12" s="31">
        <v>250.9991529715</v>
      </c>
      <c r="M12" s="31">
        <v>253.48522207679997</v>
      </c>
      <c r="N12" s="32">
        <v>256.82755450000002</v>
      </c>
      <c r="O12" s="327" t="s">
        <v>21</v>
      </c>
      <c r="P12" s="328"/>
    </row>
    <row r="13" spans="1:16" ht="21.75" thickBot="1" x14ac:dyDescent="0.4">
      <c r="A13" s="242" t="s">
        <v>82</v>
      </c>
      <c r="B13" s="242"/>
      <c r="C13" s="243">
        <v>221.16365149999999</v>
      </c>
      <c r="D13" s="243">
        <v>210.48049023679999</v>
      </c>
      <c r="E13" s="243">
        <v>190.33156918500003</v>
      </c>
      <c r="F13" s="244">
        <f t="shared" si="0"/>
        <v>-0.13940845209367492</v>
      </c>
      <c r="G13" s="241">
        <f t="shared" si="1"/>
        <v>-9.5728212287663927E-2</v>
      </c>
      <c r="J13" s="178">
        <v>-9.5728212287663927E-2</v>
      </c>
      <c r="K13" s="68">
        <v>-0.13940845209367492</v>
      </c>
      <c r="L13" s="33">
        <v>190.33156918500003</v>
      </c>
      <c r="M13" s="33">
        <v>210.48049023679999</v>
      </c>
      <c r="N13" s="34">
        <v>221.16365149999999</v>
      </c>
      <c r="O13" s="322" t="s">
        <v>32</v>
      </c>
      <c r="P13" s="323"/>
    </row>
    <row r="14" spans="1:16" s="1" customFormat="1" ht="21.75" thickBot="1" x14ac:dyDescent="0.4">
      <c r="A14" s="385" t="s">
        <v>15</v>
      </c>
      <c r="B14" s="391"/>
      <c r="C14" s="288">
        <v>1.3254999999999999</v>
      </c>
      <c r="D14" s="288">
        <v>1.5568</v>
      </c>
      <c r="E14" s="288">
        <v>1.6085</v>
      </c>
      <c r="F14" s="187">
        <v>0.21350433798566582</v>
      </c>
      <c r="G14" s="187">
        <v>3.3209146968139924E-2</v>
      </c>
      <c r="J14" s="289">
        <v>3.3209146968139924E-2</v>
      </c>
      <c r="K14" s="289">
        <v>0.21350433798566582</v>
      </c>
      <c r="L14" s="290">
        <v>1.6085</v>
      </c>
      <c r="M14" s="290">
        <v>1.5568</v>
      </c>
      <c r="N14" s="291">
        <v>1.3254999999999999</v>
      </c>
      <c r="O14" s="394" t="s">
        <v>22</v>
      </c>
      <c r="P14" s="395"/>
    </row>
    <row r="15" spans="1:16" ht="15.75" thickTop="1" x14ac:dyDescent="0.25">
      <c r="B15" s="191"/>
      <c r="C15" s="191"/>
      <c r="D15" s="191"/>
      <c r="E15" s="191"/>
      <c r="F15" s="191"/>
      <c r="G15" s="191"/>
    </row>
    <row r="16" spans="1:16" x14ac:dyDescent="0.25">
      <c r="B16" s="191"/>
      <c r="C16" s="191"/>
      <c r="D16" s="191"/>
      <c r="E16" s="191"/>
      <c r="F16" s="191"/>
      <c r="G16" s="191"/>
    </row>
    <row r="17" spans="2:8" x14ac:dyDescent="0.25">
      <c r="B17" s="191"/>
      <c r="C17" s="191"/>
      <c r="D17" s="191"/>
      <c r="E17" s="191"/>
      <c r="F17" s="191"/>
      <c r="G17" s="191"/>
    </row>
    <row r="18" spans="2:8" x14ac:dyDescent="0.25">
      <c r="B18" s="191"/>
      <c r="C18" s="191"/>
      <c r="D18" s="191"/>
      <c r="E18" s="191"/>
      <c r="F18" s="191"/>
      <c r="G18" s="191"/>
    </row>
    <row r="19" spans="2:8" x14ac:dyDescent="0.25">
      <c r="B19" s="191"/>
      <c r="C19" s="6"/>
      <c r="D19" s="191"/>
      <c r="E19" s="191"/>
      <c r="F19" s="191"/>
      <c r="G19" s="191"/>
    </row>
    <row r="20" spans="2:8" x14ac:dyDescent="0.25">
      <c r="B20" s="191"/>
      <c r="C20" s="191"/>
      <c r="D20" s="191"/>
      <c r="E20" s="191"/>
      <c r="F20" s="191"/>
      <c r="G20" s="191"/>
    </row>
    <row r="21" spans="2:8" x14ac:dyDescent="0.25">
      <c r="B21" s="191"/>
      <c r="C21" s="191"/>
      <c r="D21" s="191"/>
      <c r="E21" s="191"/>
      <c r="F21" s="191"/>
      <c r="G21" s="191"/>
    </row>
    <row r="22" spans="2:8" x14ac:dyDescent="0.25">
      <c r="B22" s="191"/>
      <c r="C22" s="191"/>
      <c r="D22" s="191"/>
      <c r="E22" s="191"/>
      <c r="F22" s="191"/>
      <c r="G22" s="191"/>
    </row>
    <row r="23" spans="2:8" x14ac:dyDescent="0.25">
      <c r="B23" s="191"/>
      <c r="C23" s="191"/>
      <c r="D23" s="191"/>
      <c r="E23" s="191"/>
      <c r="F23" s="191"/>
      <c r="G23" s="191"/>
    </row>
    <row r="24" spans="2:8" x14ac:dyDescent="0.25">
      <c r="B24" s="191"/>
      <c r="C24" s="191"/>
      <c r="D24" s="191"/>
      <c r="E24" s="191"/>
      <c r="F24" s="191"/>
      <c r="G24" s="191"/>
    </row>
    <row r="25" spans="2:8" x14ac:dyDescent="0.25">
      <c r="B25" s="191"/>
      <c r="C25" s="191"/>
      <c r="D25" s="191"/>
      <c r="E25" s="191"/>
      <c r="F25" s="191"/>
      <c r="G25" s="191"/>
    </row>
    <row r="26" spans="2:8" x14ac:dyDescent="0.25">
      <c r="B26" s="191"/>
      <c r="C26" s="191"/>
      <c r="D26" s="191"/>
      <c r="E26" s="191"/>
      <c r="F26" s="191"/>
      <c r="G26" s="191"/>
    </row>
    <row r="30" spans="2:8" ht="21" x14ac:dyDescent="0.35">
      <c r="B30" s="392" t="s">
        <v>78</v>
      </c>
      <c r="C30" s="392"/>
      <c r="D30" s="384" t="s">
        <v>74</v>
      </c>
      <c r="E30" s="384"/>
      <c r="F30" s="384"/>
      <c r="G30" s="384"/>
      <c r="H30" s="384"/>
    </row>
    <row r="31" spans="2:8" ht="19.5" thickBot="1" x14ac:dyDescent="0.35">
      <c r="B31" s="393"/>
      <c r="C31" s="393"/>
      <c r="D31" s="427">
        <v>2010</v>
      </c>
      <c r="E31" s="183">
        <v>2013</v>
      </c>
      <c r="F31" s="183">
        <v>2014</v>
      </c>
      <c r="G31" s="185" t="s">
        <v>67</v>
      </c>
      <c r="H31" s="184" t="s">
        <v>66</v>
      </c>
    </row>
    <row r="32" spans="2:8" ht="21.75" thickTop="1" x14ac:dyDescent="0.35">
      <c r="B32" s="389" t="s">
        <v>1</v>
      </c>
      <c r="C32" s="421"/>
      <c r="D32" s="428">
        <v>83.491</v>
      </c>
      <c r="E32" s="429">
        <v>87.747321999999997</v>
      </c>
      <c r="F32" s="429">
        <v>46.923856999999998</v>
      </c>
      <c r="G32" s="430">
        <f t="shared" ref="G32:G40" si="2">F32/D32-1</f>
        <v>-0.43797706339605469</v>
      </c>
      <c r="H32" s="431">
        <f t="shared" ref="H32:H39" si="3">F32/E32-1</f>
        <v>-0.46523887076576542</v>
      </c>
    </row>
    <row r="33" spans="2:8" ht="21" x14ac:dyDescent="0.35">
      <c r="B33" s="57" t="s">
        <v>0</v>
      </c>
      <c r="C33" s="422" t="s">
        <v>3</v>
      </c>
      <c r="D33" s="432">
        <v>5.907</v>
      </c>
      <c r="E33" s="275">
        <v>0.43532999999999999</v>
      </c>
      <c r="F33" s="275">
        <v>1.467571</v>
      </c>
      <c r="G33" s="233">
        <f t="shared" si="2"/>
        <v>-0.75155391907905877</v>
      </c>
      <c r="H33" s="444">
        <f t="shared" si="3"/>
        <v>2.371168998231227</v>
      </c>
    </row>
    <row r="34" spans="2:8" ht="21" x14ac:dyDescent="0.35">
      <c r="B34" s="57" t="s">
        <v>0</v>
      </c>
      <c r="C34" s="422" t="s">
        <v>4</v>
      </c>
      <c r="D34" s="432">
        <v>77.584000000000003</v>
      </c>
      <c r="E34" s="59">
        <v>87.311992000000004</v>
      </c>
      <c r="F34" s="59">
        <v>45.456285999999999</v>
      </c>
      <c r="G34" s="233">
        <f t="shared" si="2"/>
        <v>-0.41410231491029081</v>
      </c>
      <c r="H34" s="434">
        <f t="shared" si="3"/>
        <v>-0.47938095376406031</v>
      </c>
    </row>
    <row r="35" spans="2:8" ht="21" x14ac:dyDescent="0.35">
      <c r="B35" s="390" t="s">
        <v>2</v>
      </c>
      <c r="C35" s="423"/>
      <c r="D35" s="432">
        <v>187.852</v>
      </c>
      <c r="E35" s="59">
        <v>162.389196</v>
      </c>
      <c r="F35" s="59">
        <v>154.57790800000001</v>
      </c>
      <c r="G35" s="60">
        <f t="shared" si="2"/>
        <v>-0.17712929327342797</v>
      </c>
      <c r="H35" s="433">
        <f t="shared" si="3"/>
        <v>-4.8102264143237594E-2</v>
      </c>
    </row>
    <row r="36" spans="2:8" ht="21" x14ac:dyDescent="0.35">
      <c r="B36" s="58" t="s">
        <v>0</v>
      </c>
      <c r="C36" s="424" t="s">
        <v>3</v>
      </c>
      <c r="D36" s="432">
        <v>160.946</v>
      </c>
      <c r="E36" s="59">
        <v>134.76539600000001</v>
      </c>
      <c r="F36" s="59">
        <v>116.86103900000001</v>
      </c>
      <c r="G36" s="61">
        <f t="shared" si="2"/>
        <v>-0.27391150447976331</v>
      </c>
      <c r="H36" s="434">
        <f t="shared" si="3"/>
        <v>-0.13285574436333791</v>
      </c>
    </row>
    <row r="37" spans="2:8" ht="21" x14ac:dyDescent="0.35">
      <c r="B37" s="58" t="s">
        <v>0</v>
      </c>
      <c r="C37" s="424" t="s">
        <v>4</v>
      </c>
      <c r="D37" s="432">
        <v>26.906000000000006</v>
      </c>
      <c r="E37" s="59">
        <v>27.623799999999989</v>
      </c>
      <c r="F37" s="59">
        <v>37.716869000000003</v>
      </c>
      <c r="G37" s="61">
        <f t="shared" si="2"/>
        <v>0.40180141975767469</v>
      </c>
      <c r="H37" s="435">
        <f t="shared" si="3"/>
        <v>0.36537583533040419</v>
      </c>
    </row>
    <row r="38" spans="2:8" ht="21" x14ac:dyDescent="0.35">
      <c r="B38" s="382" t="s">
        <v>79</v>
      </c>
      <c r="C38" s="425"/>
      <c r="D38" s="436">
        <v>193.75900000000001</v>
      </c>
      <c r="E38" s="62">
        <v>162.82452599999999</v>
      </c>
      <c r="F38" s="62">
        <v>156.045479</v>
      </c>
      <c r="G38" s="186">
        <f t="shared" si="2"/>
        <v>-0.1946413895612592</v>
      </c>
      <c r="H38" s="437">
        <f t="shared" si="3"/>
        <v>-4.1634065619819416E-2</v>
      </c>
    </row>
    <row r="39" spans="2:8" ht="21" x14ac:dyDescent="0.35">
      <c r="B39" s="234" t="s">
        <v>35</v>
      </c>
      <c r="C39" s="426"/>
      <c r="D39" s="438">
        <v>166.85300000000001</v>
      </c>
      <c r="E39" s="235">
        <v>135.200726</v>
      </c>
      <c r="F39" s="235">
        <v>118.32861000000001</v>
      </c>
      <c r="G39" s="236">
        <f t="shared" si="2"/>
        <v>-0.29082120189627991</v>
      </c>
      <c r="H39" s="439">
        <f t="shared" si="3"/>
        <v>-0.1247930872797236</v>
      </c>
    </row>
    <row r="40" spans="2:8" ht="21.75" thickBot="1" x14ac:dyDescent="0.4">
      <c r="B40" s="385" t="s">
        <v>15</v>
      </c>
      <c r="C40" s="391"/>
      <c r="D40" s="440">
        <v>1.3254999999999999</v>
      </c>
      <c r="E40" s="441">
        <v>1.5568</v>
      </c>
      <c r="F40" s="441">
        <v>1.6085</v>
      </c>
      <c r="G40" s="442">
        <f t="shared" si="2"/>
        <v>0.21350433798566582</v>
      </c>
      <c r="H40" s="443">
        <f xml:space="preserve"> F40/E40-1</f>
        <v>3.3209146968139924E-2</v>
      </c>
    </row>
    <row r="41" spans="2:8" ht="15.75" thickTop="1" x14ac:dyDescent="0.25">
      <c r="B41" s="191"/>
      <c r="C41" s="191"/>
      <c r="D41" s="191"/>
      <c r="E41" s="191"/>
      <c r="F41" s="191"/>
      <c r="G41" s="191"/>
    </row>
  </sheetData>
  <mergeCells count="28">
    <mergeCell ref="O13:P13"/>
    <mergeCell ref="O14:P14"/>
    <mergeCell ref="O8:P8"/>
    <mergeCell ref="O9:P9"/>
    <mergeCell ref="O10:P10"/>
    <mergeCell ref="O11:P11"/>
    <mergeCell ref="O12:P12"/>
    <mergeCell ref="J4:K4"/>
    <mergeCell ref="L4:N4"/>
    <mergeCell ref="O4:P5"/>
    <mergeCell ref="O6:P6"/>
    <mergeCell ref="O7:P7"/>
    <mergeCell ref="B40:C40"/>
    <mergeCell ref="A4:B5"/>
    <mergeCell ref="A6:B6"/>
    <mergeCell ref="A9:B9"/>
    <mergeCell ref="A12:B12"/>
    <mergeCell ref="B32:C32"/>
    <mergeCell ref="B35:C35"/>
    <mergeCell ref="A14:B14"/>
    <mergeCell ref="B30:C31"/>
    <mergeCell ref="G4:G5"/>
    <mergeCell ref="F4:F5"/>
    <mergeCell ref="B38:C38"/>
    <mergeCell ref="C4:C5"/>
    <mergeCell ref="D4:D5"/>
    <mergeCell ref="E4:E5"/>
    <mergeCell ref="D30:H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7"/>
  <sheetViews>
    <sheetView zoomScale="80" zoomScaleNormal="80" workbookViewId="0">
      <selection activeCell="I26" sqref="I26"/>
    </sheetView>
  </sheetViews>
  <sheetFormatPr baseColWidth="10" defaultRowHeight="15" x14ac:dyDescent="0.25"/>
  <cols>
    <col min="1" max="1" width="6" customWidth="1"/>
    <col min="2" max="2" width="31" customWidth="1"/>
    <col min="3" max="3" width="15.5703125" customWidth="1"/>
    <col min="4" max="4" width="15.140625" customWidth="1"/>
    <col min="5" max="5" width="14.85546875" customWidth="1"/>
    <col min="6" max="7" width="13.85546875" customWidth="1"/>
  </cols>
  <sheetData>
    <row r="4" spans="1:15" ht="15.75" thickBot="1" x14ac:dyDescent="0.3">
      <c r="A4" s="191"/>
      <c r="B4" s="191"/>
      <c r="C4" s="191"/>
      <c r="D4" s="191"/>
      <c r="E4" s="191"/>
      <c r="F4" s="191"/>
      <c r="G4" s="191"/>
      <c r="H4" s="191"/>
    </row>
    <row r="5" spans="1:15" ht="16.5" thickBot="1" x14ac:dyDescent="0.3">
      <c r="A5" s="397" t="s">
        <v>65</v>
      </c>
      <c r="B5" s="397"/>
      <c r="C5" s="406" t="s">
        <v>75</v>
      </c>
      <c r="D5" s="406" t="s">
        <v>76</v>
      </c>
      <c r="E5" s="406" t="s">
        <v>77</v>
      </c>
      <c r="F5" s="404" t="s">
        <v>67</v>
      </c>
      <c r="G5" s="402" t="s">
        <v>66</v>
      </c>
      <c r="H5" s="191"/>
      <c r="I5" s="333" t="s">
        <v>26</v>
      </c>
      <c r="J5" s="334"/>
      <c r="K5" s="344" t="s">
        <v>73</v>
      </c>
      <c r="L5" s="345"/>
      <c r="M5" s="346"/>
      <c r="N5" s="330" t="s">
        <v>29</v>
      </c>
      <c r="O5" s="330"/>
    </row>
    <row r="6" spans="1:15" ht="15.75" thickBot="1" x14ac:dyDescent="0.3">
      <c r="A6" s="398"/>
      <c r="B6" s="398"/>
      <c r="C6" s="406"/>
      <c r="D6" s="406"/>
      <c r="E6" s="406"/>
      <c r="F6" s="405"/>
      <c r="G6" s="403"/>
      <c r="I6" s="14" t="s">
        <v>67</v>
      </c>
      <c r="J6" s="13" t="s">
        <v>66</v>
      </c>
      <c r="K6" s="195">
        <v>2014</v>
      </c>
      <c r="L6" s="196">
        <v>2013</v>
      </c>
      <c r="M6" s="196">
        <v>2010</v>
      </c>
      <c r="N6" s="330"/>
      <c r="O6" s="330"/>
    </row>
    <row r="7" spans="1:15" ht="21.75" thickBot="1" x14ac:dyDescent="0.4">
      <c r="A7" s="399" t="s">
        <v>69</v>
      </c>
      <c r="B7" s="400"/>
      <c r="C7" s="63">
        <f>Mines!O20</f>
        <v>1260.9059999999999</v>
      </c>
      <c r="D7" s="63">
        <f>Mines!N20</f>
        <v>216.59800000000001</v>
      </c>
      <c r="E7" s="64">
        <f>Mines!M20</f>
        <v>588</v>
      </c>
      <c r="F7" s="65">
        <f>E7/C7-1</f>
        <v>-0.53366864778183309</v>
      </c>
      <c r="G7" s="65">
        <f>E7/D7-1</f>
        <v>1.7147065069852907</v>
      </c>
      <c r="I7" s="89">
        <v>-53.366864778183299</v>
      </c>
      <c r="J7" s="278">
        <v>171.47065069852906</v>
      </c>
      <c r="K7" s="90">
        <v>588</v>
      </c>
      <c r="L7" s="91">
        <v>216.59800000000001</v>
      </c>
      <c r="M7" s="92">
        <v>1260.9059999999999</v>
      </c>
      <c r="N7" s="331" t="s">
        <v>18</v>
      </c>
      <c r="O7" s="331"/>
    </row>
    <row r="8" spans="1:15" ht="21" x14ac:dyDescent="0.35">
      <c r="A8" s="401" t="s">
        <v>68</v>
      </c>
      <c r="B8" s="401"/>
      <c r="C8" s="85"/>
      <c r="D8" s="85"/>
      <c r="E8" s="85"/>
      <c r="F8" s="79"/>
      <c r="G8" s="86"/>
      <c r="I8" s="474"/>
      <c r="J8" s="475"/>
      <c r="K8" s="475"/>
      <c r="L8" s="475"/>
      <c r="M8" s="476"/>
      <c r="N8" s="332" t="s">
        <v>5</v>
      </c>
      <c r="O8" s="332"/>
    </row>
    <row r="9" spans="1:15" ht="18.75" x14ac:dyDescent="0.3">
      <c r="A9" s="263"/>
      <c r="B9" s="264" t="s">
        <v>8</v>
      </c>
      <c r="C9" s="265">
        <f>Mines!O24</f>
        <v>228.4</v>
      </c>
      <c r="D9" s="266">
        <f>Mines!N24</f>
        <v>71.179000000000002</v>
      </c>
      <c r="E9" s="266">
        <f>Mines!M24</f>
        <v>87.093999999999994</v>
      </c>
      <c r="F9" s="245">
        <f t="shared" ref="F9:F14" si="0">E9/C9-1</f>
        <v>-0.61867775831873906</v>
      </c>
      <c r="G9" s="267">
        <f t="shared" ref="G9:G14" si="1">E9/D9-1</f>
        <v>0.22359122774975759</v>
      </c>
      <c r="I9" s="281">
        <v>-52.660157702539067</v>
      </c>
      <c r="J9" s="282">
        <v>32.056226395021021</v>
      </c>
      <c r="K9" s="46">
        <v>99.301000000000002</v>
      </c>
      <c r="L9" s="46">
        <v>75.195999999999998</v>
      </c>
      <c r="M9" s="46">
        <v>209.762</v>
      </c>
      <c r="N9" s="329" t="s">
        <v>10</v>
      </c>
      <c r="O9" s="329"/>
    </row>
    <row r="10" spans="1:15" ht="18.75" x14ac:dyDescent="0.3">
      <c r="A10" s="268"/>
      <c r="B10" s="269" t="s">
        <v>6</v>
      </c>
      <c r="C10" s="265">
        <f>Mines!O22</f>
        <v>209.762</v>
      </c>
      <c r="D10" s="266">
        <f>Mines!N22</f>
        <v>75.195999999999998</v>
      </c>
      <c r="E10" s="266">
        <f>Mines!M22</f>
        <v>99.301000000000002</v>
      </c>
      <c r="F10" s="245">
        <f t="shared" si="0"/>
        <v>-0.52660157702539068</v>
      </c>
      <c r="G10" s="245">
        <f t="shared" si="1"/>
        <v>0.32056226395021015</v>
      </c>
      <c r="I10" s="51">
        <v>-30.380863946465706</v>
      </c>
      <c r="J10" s="279">
        <v>229.2324442025041</v>
      </c>
      <c r="K10" s="46">
        <v>90.72</v>
      </c>
      <c r="L10" s="46">
        <v>27.555</v>
      </c>
      <c r="M10" s="46">
        <v>130.309</v>
      </c>
      <c r="N10" s="329" t="s">
        <v>23</v>
      </c>
      <c r="O10" s="329"/>
    </row>
    <row r="11" spans="1:15" ht="18.75" x14ac:dyDescent="0.3">
      <c r="A11" s="263"/>
      <c r="B11" s="264" t="s">
        <v>7</v>
      </c>
      <c r="C11" s="265">
        <f>Mines!O23</f>
        <v>130.309</v>
      </c>
      <c r="D11" s="266">
        <f>Mines!N23</f>
        <v>27.555</v>
      </c>
      <c r="E11" s="266">
        <f>Mines!M23</f>
        <v>90.72</v>
      </c>
      <c r="F11" s="245">
        <f t="shared" si="0"/>
        <v>-0.30380863946465708</v>
      </c>
      <c r="G11" s="267">
        <f t="shared" si="1"/>
        <v>2.2923244420250408</v>
      </c>
      <c r="I11" s="51">
        <v>-61.867775831873907</v>
      </c>
      <c r="J11" s="279">
        <v>22.359122774975752</v>
      </c>
      <c r="K11" s="46">
        <v>87.093999999999994</v>
      </c>
      <c r="L11" s="46">
        <v>71.179000000000002</v>
      </c>
      <c r="M11" s="46">
        <v>228.4</v>
      </c>
      <c r="N11" s="329" t="s">
        <v>11</v>
      </c>
      <c r="O11" s="329"/>
    </row>
    <row r="12" spans="1:15" ht="18.75" x14ac:dyDescent="0.3">
      <c r="A12" s="263"/>
      <c r="B12" s="269" t="s">
        <v>27</v>
      </c>
      <c r="C12" s="270">
        <f>Mines!O26</f>
        <v>23.675000000000001</v>
      </c>
      <c r="D12" s="266">
        <f>Mines!N26</f>
        <v>13.603999999999999</v>
      </c>
      <c r="E12" s="271">
        <f>Mines!M26</f>
        <v>19.928000000000001</v>
      </c>
      <c r="F12" s="245">
        <f t="shared" si="0"/>
        <v>-0.15826821541710667</v>
      </c>
      <c r="G12" s="245">
        <f t="shared" si="1"/>
        <v>0.46486327550720397</v>
      </c>
      <c r="I12" s="51">
        <v>-34.618235730170497</v>
      </c>
      <c r="J12" s="279">
        <v>20.163487738419626</v>
      </c>
      <c r="K12" s="46">
        <v>8.82</v>
      </c>
      <c r="L12" s="46">
        <v>7.34</v>
      </c>
      <c r="M12" s="46">
        <v>13.49</v>
      </c>
      <c r="N12" s="329" t="s">
        <v>12</v>
      </c>
      <c r="O12" s="329"/>
    </row>
    <row r="13" spans="1:15" ht="19.5" thickBot="1" x14ac:dyDescent="0.35">
      <c r="A13" s="272"/>
      <c r="B13" s="269" t="s">
        <v>9</v>
      </c>
      <c r="C13" s="265">
        <f>Mines!O25</f>
        <v>13.49</v>
      </c>
      <c r="D13" s="266">
        <f>Mines!N25</f>
        <v>7.34</v>
      </c>
      <c r="E13" s="266">
        <f>Mines!M25</f>
        <v>8.82</v>
      </c>
      <c r="F13" s="245">
        <f t="shared" si="0"/>
        <v>-0.34618235730170499</v>
      </c>
      <c r="G13" s="245">
        <f t="shared" si="1"/>
        <v>0.20163487738419628</v>
      </c>
      <c r="I13" s="53">
        <v>-15.826821541710665</v>
      </c>
      <c r="J13" s="280">
        <v>46.486327550720397</v>
      </c>
      <c r="K13" s="47">
        <v>19.928000000000001</v>
      </c>
      <c r="L13" s="47">
        <v>13.603999999999999</v>
      </c>
      <c r="M13" s="48">
        <v>23.675000000000001</v>
      </c>
      <c r="N13" s="359" t="s">
        <v>24</v>
      </c>
      <c r="O13" s="359"/>
    </row>
    <row r="14" spans="1:15" ht="18.75" x14ac:dyDescent="0.3">
      <c r="A14" s="396" t="s">
        <v>38</v>
      </c>
      <c r="B14" s="396"/>
      <c r="C14" s="273">
        <f>Mines!O10</f>
        <v>248.99782599999998</v>
      </c>
      <c r="D14" s="273">
        <f>Mines!N10</f>
        <v>252.8075003328</v>
      </c>
      <c r="E14" s="273">
        <f>Mines!M10</f>
        <v>248.63856501800001</v>
      </c>
      <c r="F14" s="274">
        <f t="shared" si="0"/>
        <v>-1.4428277859741545E-3</v>
      </c>
      <c r="G14" s="274">
        <f t="shared" si="1"/>
        <v>-1.6490552334531006E-2</v>
      </c>
    </row>
    <row r="15" spans="1:15" x14ac:dyDescent="0.25">
      <c r="A15" s="191"/>
      <c r="B15" s="191"/>
      <c r="C15" s="191"/>
      <c r="D15" s="191"/>
      <c r="E15" s="191"/>
      <c r="F15" s="191"/>
      <c r="G15" s="191"/>
    </row>
    <row r="16" spans="1:15" x14ac:dyDescent="0.25">
      <c r="A16" s="191"/>
      <c r="B16" s="191"/>
      <c r="C16" s="191"/>
      <c r="D16" s="191"/>
      <c r="E16" s="191"/>
      <c r="F16" s="191"/>
      <c r="G16" s="191"/>
      <c r="H16" s="191"/>
    </row>
    <row r="17" spans="1:8" x14ac:dyDescent="0.25">
      <c r="A17" s="191"/>
      <c r="B17" s="191"/>
      <c r="C17" s="191"/>
      <c r="D17" s="191"/>
      <c r="E17" s="191"/>
      <c r="F17" s="191"/>
      <c r="G17" s="191"/>
      <c r="H17" s="191"/>
    </row>
    <row r="18" spans="1:8" x14ac:dyDescent="0.25">
      <c r="A18" s="191"/>
      <c r="B18" s="191"/>
      <c r="C18" s="191"/>
      <c r="D18" s="191"/>
      <c r="E18" s="191"/>
      <c r="F18" s="191"/>
      <c r="G18" s="191"/>
      <c r="H18" s="191"/>
    </row>
    <row r="19" spans="1:8" x14ac:dyDescent="0.25">
      <c r="A19" s="191"/>
      <c r="B19" s="191"/>
      <c r="C19" s="191"/>
      <c r="D19" s="191"/>
      <c r="E19" s="191"/>
      <c r="F19" s="191"/>
      <c r="G19" s="191"/>
      <c r="H19" s="191"/>
    </row>
    <row r="20" spans="1:8" x14ac:dyDescent="0.25">
      <c r="A20" s="191"/>
      <c r="B20" s="191"/>
      <c r="C20" s="191"/>
      <c r="D20" s="191"/>
      <c r="E20" s="191"/>
      <c r="F20" s="191"/>
      <c r="G20" s="191"/>
      <c r="H20" s="191"/>
    </row>
    <row r="21" spans="1:8" x14ac:dyDescent="0.25">
      <c r="A21" s="191"/>
      <c r="B21" s="191"/>
      <c r="C21" s="191"/>
      <c r="D21" s="191"/>
      <c r="E21" s="191"/>
      <c r="F21" s="191"/>
      <c r="G21" s="191"/>
      <c r="H21" s="191"/>
    </row>
    <row r="22" spans="1:8" x14ac:dyDescent="0.25">
      <c r="A22" s="191"/>
      <c r="B22" s="191"/>
      <c r="C22" s="191"/>
      <c r="D22" s="191"/>
      <c r="E22" s="191"/>
      <c r="F22" s="191"/>
      <c r="G22" s="191"/>
      <c r="H22" s="191"/>
    </row>
    <row r="23" spans="1:8" x14ac:dyDescent="0.25">
      <c r="A23" s="191"/>
      <c r="B23" s="191"/>
      <c r="C23" s="191"/>
      <c r="D23" s="191"/>
      <c r="E23" s="191"/>
      <c r="F23" s="191"/>
      <c r="G23" s="191"/>
      <c r="H23" s="191"/>
    </row>
    <row r="24" spans="1:8" x14ac:dyDescent="0.25">
      <c r="A24" s="191"/>
      <c r="B24" s="191"/>
      <c r="C24" s="191"/>
      <c r="D24" s="191"/>
      <c r="E24" s="191"/>
      <c r="F24" s="191"/>
      <c r="G24" s="191"/>
      <c r="H24" s="191"/>
    </row>
    <row r="25" spans="1:8" x14ac:dyDescent="0.25">
      <c r="A25" s="191"/>
      <c r="B25" s="191"/>
      <c r="C25" s="191"/>
      <c r="D25" s="191"/>
      <c r="E25" s="191"/>
      <c r="F25" s="191"/>
      <c r="G25" s="191"/>
      <c r="H25" s="191"/>
    </row>
    <row r="26" spans="1:8" x14ac:dyDescent="0.25">
      <c r="A26" s="191"/>
      <c r="B26" s="191"/>
      <c r="C26" s="191"/>
      <c r="D26" s="191"/>
      <c r="E26" s="191"/>
      <c r="F26" s="191"/>
      <c r="G26" s="191"/>
      <c r="H26" s="191"/>
    </row>
    <row r="27" spans="1:8" x14ac:dyDescent="0.25">
      <c r="A27" s="191"/>
      <c r="B27" s="191"/>
      <c r="C27" s="191"/>
      <c r="D27" s="191"/>
      <c r="E27" s="191"/>
      <c r="F27" s="191"/>
      <c r="G27" s="191"/>
      <c r="H27" s="191"/>
    </row>
  </sheetData>
  <mergeCells count="20">
    <mergeCell ref="N9:O9"/>
    <mergeCell ref="N10:O10"/>
    <mergeCell ref="N11:O11"/>
    <mergeCell ref="N12:O12"/>
    <mergeCell ref="N13:O13"/>
    <mergeCell ref="I5:J5"/>
    <mergeCell ref="K5:M5"/>
    <mergeCell ref="N5:O6"/>
    <mergeCell ref="N7:O7"/>
    <mergeCell ref="N8:O8"/>
    <mergeCell ref="I8:M8"/>
    <mergeCell ref="A14:B14"/>
    <mergeCell ref="A5:B6"/>
    <mergeCell ref="A7:B7"/>
    <mergeCell ref="A8:B8"/>
    <mergeCell ref="G5:G6"/>
    <mergeCell ref="F5:F6"/>
    <mergeCell ref="C5:C6"/>
    <mergeCell ref="D5:D6"/>
    <mergeCell ref="E5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selection activeCell="K24" sqref="K24"/>
    </sheetView>
  </sheetViews>
  <sheetFormatPr baseColWidth="10" defaultRowHeight="15" x14ac:dyDescent="0.25"/>
  <cols>
    <col min="2" max="2" width="7" customWidth="1"/>
    <col min="3" max="3" width="33.42578125" customWidth="1"/>
    <col min="4" max="6" width="19.42578125" customWidth="1"/>
    <col min="7" max="7" width="12.28515625" bestFit="1" customWidth="1"/>
    <col min="15" max="15" width="13.140625" customWidth="1"/>
    <col min="16" max="16" width="14.140625" customWidth="1"/>
  </cols>
  <sheetData>
    <row r="1" spans="1:16" x14ac:dyDescent="0.25">
      <c r="A1" s="191"/>
    </row>
    <row r="4" spans="1:16" ht="15.75" thickBot="1" x14ac:dyDescent="0.3">
      <c r="B4" s="191"/>
      <c r="C4" s="191"/>
      <c r="D4" s="191"/>
      <c r="E4" s="191"/>
      <c r="F4" s="191"/>
      <c r="G4" s="191"/>
      <c r="H4" s="191"/>
      <c r="I4" s="191"/>
    </row>
    <row r="5" spans="1:16" ht="16.5" customHeight="1" thickBot="1" x14ac:dyDescent="0.3">
      <c r="B5" s="397" t="s">
        <v>36</v>
      </c>
      <c r="C5" s="410"/>
      <c r="D5" s="413" t="s">
        <v>75</v>
      </c>
      <c r="E5" s="415" t="s">
        <v>76</v>
      </c>
      <c r="F5" s="415" t="s">
        <v>77</v>
      </c>
      <c r="G5" s="408" t="s">
        <v>67</v>
      </c>
      <c r="H5" s="407" t="s">
        <v>66</v>
      </c>
      <c r="J5" s="362" t="s">
        <v>26</v>
      </c>
      <c r="K5" s="363"/>
      <c r="L5" s="344" t="s">
        <v>73</v>
      </c>
      <c r="M5" s="345"/>
      <c r="N5" s="346"/>
      <c r="O5" s="364" t="s">
        <v>30</v>
      </c>
      <c r="P5" s="364"/>
    </row>
    <row r="6" spans="1:16" ht="15.75" customHeight="1" thickBot="1" x14ac:dyDescent="0.3">
      <c r="B6" s="411"/>
      <c r="C6" s="411"/>
      <c r="D6" s="414"/>
      <c r="E6" s="416"/>
      <c r="F6" s="416"/>
      <c r="G6" s="405"/>
      <c r="H6" s="403"/>
      <c r="J6" s="14" t="s">
        <v>67</v>
      </c>
      <c r="K6" s="13" t="s">
        <v>66</v>
      </c>
      <c r="L6" s="195">
        <v>2014</v>
      </c>
      <c r="M6" s="196">
        <v>2013</v>
      </c>
      <c r="N6" s="196">
        <v>2010</v>
      </c>
      <c r="O6" s="364"/>
      <c r="P6" s="364"/>
    </row>
    <row r="7" spans="1:16" ht="21.75" thickBot="1" x14ac:dyDescent="0.4">
      <c r="B7" s="401" t="s">
        <v>1</v>
      </c>
      <c r="C7" s="412"/>
      <c r="D7" s="87">
        <f>Mines!O34</f>
        <v>81.77</v>
      </c>
      <c r="E7" s="87">
        <f>Mines!N34</f>
        <v>3</v>
      </c>
      <c r="F7" s="88">
        <f>Mines!M34</f>
        <v>16.3</v>
      </c>
      <c r="G7" s="448">
        <f>F7/D7-1</f>
        <v>-0.80066038889568303</v>
      </c>
      <c r="H7" s="449">
        <f>F7/E7-1</f>
        <v>4.4333333333333336</v>
      </c>
      <c r="J7" s="179">
        <v>-80.066038889568304</v>
      </c>
      <c r="K7" s="285">
        <v>443.33333333333331</v>
      </c>
      <c r="L7" s="90">
        <v>16.3</v>
      </c>
      <c r="M7" s="91">
        <v>3</v>
      </c>
      <c r="N7" s="92">
        <v>81.77</v>
      </c>
      <c r="O7" s="331" t="s">
        <v>18</v>
      </c>
      <c r="P7" s="331"/>
    </row>
    <row r="8" spans="1:16" ht="21" x14ac:dyDescent="0.35">
      <c r="B8" s="401" t="s">
        <v>2</v>
      </c>
      <c r="C8" s="401"/>
      <c r="D8" s="472"/>
      <c r="E8" s="472"/>
      <c r="F8" s="472"/>
      <c r="G8" s="472"/>
      <c r="H8" s="473"/>
      <c r="J8" s="474"/>
      <c r="K8" s="475"/>
      <c r="L8" s="475"/>
      <c r="M8" s="475"/>
      <c r="N8" s="476"/>
      <c r="O8" s="365" t="s">
        <v>5</v>
      </c>
      <c r="P8" s="365"/>
    </row>
    <row r="9" spans="1:16" ht="18.75" x14ac:dyDescent="0.3">
      <c r="B9" s="251"/>
      <c r="C9" s="252" t="s">
        <v>8</v>
      </c>
      <c r="D9" s="253">
        <f>Mines!O38</f>
        <v>180.35400000000001</v>
      </c>
      <c r="E9" s="254">
        <f>Mines!N38</f>
        <v>77.188000000000002</v>
      </c>
      <c r="F9" s="253">
        <f>Mines!M38</f>
        <v>91.254999999999995</v>
      </c>
      <c r="G9" s="248">
        <f t="shared" ref="G9:G14" si="0">F9/D9-1</f>
        <v>-0.49402286614103386</v>
      </c>
      <c r="H9" s="255">
        <f t="shared" ref="H9:H14" si="1">F9/E9-1</f>
        <v>0.18224335388920543</v>
      </c>
      <c r="J9" s="51">
        <v>-70.414208016258854</v>
      </c>
      <c r="K9" s="52">
        <v>-56.943114024031594</v>
      </c>
      <c r="L9" s="46">
        <v>25.620999999999999</v>
      </c>
      <c r="M9" s="46">
        <v>59.505000000000003</v>
      </c>
      <c r="N9" s="46">
        <v>86.599000000000004</v>
      </c>
      <c r="O9" s="320" t="s">
        <v>10</v>
      </c>
      <c r="P9" s="320"/>
    </row>
    <row r="10" spans="1:16" ht="18.75" x14ac:dyDescent="0.3">
      <c r="B10" s="251"/>
      <c r="C10" s="252" t="s">
        <v>7</v>
      </c>
      <c r="D10" s="253">
        <f>Mines!O37</f>
        <v>93.49</v>
      </c>
      <c r="E10" s="254">
        <f>Mines!N37</f>
        <v>70.209999999999994</v>
      </c>
      <c r="F10" s="253">
        <f>Mines!M37</f>
        <v>113.03</v>
      </c>
      <c r="G10" s="248">
        <f t="shared" si="0"/>
        <v>0.20900631083538346</v>
      </c>
      <c r="H10" s="255">
        <f t="shared" si="1"/>
        <v>0.60988463181882935</v>
      </c>
      <c r="J10" s="51">
        <v>20.900631083538354</v>
      </c>
      <c r="K10" s="279">
        <v>60.988463181882942</v>
      </c>
      <c r="L10" s="46">
        <v>113.03</v>
      </c>
      <c r="M10" s="46">
        <v>70.209999999999994</v>
      </c>
      <c r="N10" s="46">
        <v>93.49</v>
      </c>
      <c r="O10" s="320" t="s">
        <v>23</v>
      </c>
      <c r="P10" s="320"/>
    </row>
    <row r="11" spans="1:16" ht="18.75" x14ac:dyDescent="0.3">
      <c r="B11" s="251"/>
      <c r="C11" s="252" t="s">
        <v>6</v>
      </c>
      <c r="D11" s="253">
        <f>Mines!O36</f>
        <v>86.599000000000004</v>
      </c>
      <c r="E11" s="254">
        <f>Mines!N36</f>
        <v>59.505000000000003</v>
      </c>
      <c r="F11" s="253">
        <f>Mines!M36</f>
        <v>25.620999999999999</v>
      </c>
      <c r="G11" s="248">
        <f t="shared" si="0"/>
        <v>-0.7041420801625885</v>
      </c>
      <c r="H11" s="256">
        <f t="shared" si="1"/>
        <v>-0.56943114024031605</v>
      </c>
      <c r="J11" s="51">
        <v>-49.402286614103382</v>
      </c>
      <c r="K11" s="279">
        <v>18.224335388920547</v>
      </c>
      <c r="L11" s="46">
        <v>91.254999999999995</v>
      </c>
      <c r="M11" s="46">
        <v>77.188000000000002</v>
      </c>
      <c r="N11" s="46">
        <v>180.35400000000001</v>
      </c>
      <c r="O11" s="320" t="s">
        <v>11</v>
      </c>
      <c r="P11" s="320"/>
    </row>
    <row r="12" spans="1:16" ht="18.75" x14ac:dyDescent="0.3">
      <c r="B12" s="251"/>
      <c r="C12" s="257" t="s">
        <v>27</v>
      </c>
      <c r="D12" s="258">
        <f>Mines!O40</f>
        <v>19.675000000000001</v>
      </c>
      <c r="E12" s="258">
        <f>Mines!N40</f>
        <v>16.074999999999999</v>
      </c>
      <c r="F12" s="253">
        <f>Mines!M40</f>
        <v>19.9282</v>
      </c>
      <c r="G12" s="248">
        <f t="shared" si="0"/>
        <v>1.2869123252859049E-2</v>
      </c>
      <c r="H12" s="259">
        <f t="shared" si="1"/>
        <v>0.23970139968895809</v>
      </c>
      <c r="J12" s="51">
        <v>-48.144382308083387</v>
      </c>
      <c r="K12" s="181">
        <v>27.5</v>
      </c>
      <c r="L12" s="46">
        <v>5.0999999999999996</v>
      </c>
      <c r="M12" s="46">
        <v>4</v>
      </c>
      <c r="N12" s="46">
        <v>9.8350000000000009</v>
      </c>
      <c r="O12" s="320" t="s">
        <v>12</v>
      </c>
      <c r="P12" s="320"/>
    </row>
    <row r="13" spans="1:16" ht="19.5" thickBot="1" x14ac:dyDescent="0.35">
      <c r="B13" s="251"/>
      <c r="C13" s="257" t="s">
        <v>9</v>
      </c>
      <c r="D13" s="258">
        <f>Mines!O39</f>
        <v>9.8350000000000009</v>
      </c>
      <c r="E13" s="258">
        <f>Mines!N39</f>
        <v>4</v>
      </c>
      <c r="F13" s="260">
        <f>Mines!M39</f>
        <v>5.0999999999999996</v>
      </c>
      <c r="G13" s="248">
        <f t="shared" si="0"/>
        <v>-0.48144382308083389</v>
      </c>
      <c r="H13" s="259">
        <f t="shared" si="1"/>
        <v>0.27499999999999991</v>
      </c>
      <c r="J13" s="53">
        <v>1.2869123252858941</v>
      </c>
      <c r="K13" s="280">
        <v>23.970139968895808</v>
      </c>
      <c r="L13" s="47">
        <v>19.9282</v>
      </c>
      <c r="M13" s="47">
        <v>16.074999999999999</v>
      </c>
      <c r="N13" s="48">
        <v>19.675000000000001</v>
      </c>
      <c r="O13" s="321" t="s">
        <v>25</v>
      </c>
      <c r="P13" s="321"/>
    </row>
    <row r="14" spans="1:16" ht="21" x14ac:dyDescent="0.35">
      <c r="B14" s="409" t="s">
        <v>37</v>
      </c>
      <c r="C14" s="409"/>
      <c r="D14" s="261">
        <f>Mines!O11</f>
        <v>213.33392299999997</v>
      </c>
      <c r="E14" s="261">
        <f>Mines!N11</f>
        <v>209.8027684928</v>
      </c>
      <c r="F14" s="261">
        <f>Mines!M11</f>
        <v>187.97098123150002</v>
      </c>
      <c r="G14" s="262">
        <f t="shared" si="0"/>
        <v>-0.11888846092470706</v>
      </c>
      <c r="H14" s="447">
        <f t="shared" si="1"/>
        <v>-0.10405862333532168</v>
      </c>
      <c r="I14" s="191"/>
      <c r="J14" s="81">
        <v>-0.11888846092470706</v>
      </c>
      <c r="K14" s="276">
        <v>-0.10405862333532168</v>
      </c>
      <c r="L14" s="82">
        <v>187.97098123150002</v>
      </c>
      <c r="M14" s="82">
        <v>209.8027684928</v>
      </c>
      <c r="N14" s="82">
        <v>213.33392299999997</v>
      </c>
      <c r="O14" s="297" t="s">
        <v>40</v>
      </c>
      <c r="P14" s="298"/>
    </row>
    <row r="15" spans="1:16" x14ac:dyDescent="0.25">
      <c r="B15" s="191"/>
      <c r="C15" s="191"/>
      <c r="D15" s="191"/>
      <c r="E15" s="191"/>
      <c r="F15" s="191"/>
      <c r="H15" s="191"/>
      <c r="I15" s="191"/>
    </row>
    <row r="16" spans="1:16" x14ac:dyDescent="0.25">
      <c r="B16" s="191"/>
      <c r="C16" s="191"/>
      <c r="D16" s="191"/>
      <c r="E16" s="191"/>
      <c r="F16" s="191"/>
      <c r="G16" s="191"/>
      <c r="H16" s="191"/>
      <c r="I16" s="191"/>
    </row>
    <row r="17" spans="2:9" x14ac:dyDescent="0.25">
      <c r="B17" s="191"/>
      <c r="C17" s="191"/>
      <c r="D17" s="191"/>
      <c r="E17" s="191"/>
      <c r="F17" s="191"/>
      <c r="G17" s="191"/>
      <c r="H17" s="191"/>
      <c r="I17" s="191"/>
    </row>
    <row r="18" spans="2:9" x14ac:dyDescent="0.25">
      <c r="B18" s="191"/>
      <c r="C18" s="191"/>
      <c r="D18" s="191"/>
      <c r="E18" s="191"/>
      <c r="F18" s="191"/>
      <c r="G18" s="191"/>
      <c r="H18" s="191"/>
      <c r="I18" s="191"/>
    </row>
    <row r="19" spans="2:9" x14ac:dyDescent="0.25">
      <c r="B19" s="191"/>
      <c r="C19" s="191"/>
      <c r="D19" s="191"/>
      <c r="E19" s="191"/>
      <c r="F19" s="191"/>
      <c r="G19" s="191"/>
      <c r="H19" s="191"/>
      <c r="I19" s="191"/>
    </row>
    <row r="20" spans="2:9" x14ac:dyDescent="0.25">
      <c r="B20" s="191"/>
      <c r="C20" s="191"/>
      <c r="D20" s="191"/>
      <c r="E20" s="191"/>
      <c r="F20" s="191"/>
      <c r="G20" s="191"/>
      <c r="H20" s="191"/>
      <c r="I20" s="191"/>
    </row>
    <row r="21" spans="2:9" x14ac:dyDescent="0.25">
      <c r="B21" s="191"/>
      <c r="C21" s="191"/>
      <c r="D21" s="191"/>
      <c r="E21" s="191"/>
      <c r="F21" s="191"/>
      <c r="G21" s="191"/>
      <c r="H21" s="191"/>
      <c r="I21" s="191"/>
    </row>
    <row r="22" spans="2:9" x14ac:dyDescent="0.25">
      <c r="B22" s="191"/>
      <c r="C22" s="191"/>
      <c r="D22" s="191"/>
      <c r="E22" s="191"/>
      <c r="F22" s="191"/>
      <c r="G22" s="191"/>
      <c r="H22" s="191"/>
      <c r="I22" s="191"/>
    </row>
    <row r="23" spans="2:9" x14ac:dyDescent="0.25">
      <c r="B23" s="191"/>
      <c r="C23" s="191"/>
      <c r="D23" s="191"/>
      <c r="E23" s="191"/>
      <c r="F23" s="191"/>
      <c r="G23" s="191"/>
      <c r="H23" s="191"/>
      <c r="I23" s="191"/>
    </row>
    <row r="24" spans="2:9" x14ac:dyDescent="0.25">
      <c r="B24" s="191"/>
      <c r="C24" s="191"/>
      <c r="D24" s="191"/>
      <c r="E24" s="191"/>
      <c r="F24" s="191"/>
      <c r="G24" s="191"/>
      <c r="H24" s="191"/>
      <c r="I24" s="191"/>
    </row>
    <row r="25" spans="2:9" x14ac:dyDescent="0.25">
      <c r="B25" s="191"/>
      <c r="C25" s="191"/>
      <c r="D25" s="191"/>
      <c r="E25" s="191"/>
      <c r="F25" s="191"/>
      <c r="G25" s="191"/>
      <c r="H25" s="191"/>
      <c r="I25" s="191"/>
    </row>
    <row r="26" spans="2:9" x14ac:dyDescent="0.25">
      <c r="B26" s="191"/>
      <c r="C26" s="191"/>
      <c r="D26" s="191"/>
      <c r="E26" s="191"/>
      <c r="F26" s="191"/>
      <c r="G26" s="191"/>
      <c r="H26" s="191"/>
      <c r="I26" s="191"/>
    </row>
  </sheetData>
  <mergeCells count="22">
    <mergeCell ref="O11:P11"/>
    <mergeCell ref="O12:P12"/>
    <mergeCell ref="O13:P13"/>
    <mergeCell ref="O14:P14"/>
    <mergeCell ref="O5:P6"/>
    <mergeCell ref="O7:P7"/>
    <mergeCell ref="O8:P8"/>
    <mergeCell ref="O9:P9"/>
    <mergeCell ref="O10:P10"/>
    <mergeCell ref="J5:K5"/>
    <mergeCell ref="L5:N5"/>
    <mergeCell ref="H5:H6"/>
    <mergeCell ref="G5:G6"/>
    <mergeCell ref="B14:C14"/>
    <mergeCell ref="B5:C6"/>
    <mergeCell ref="B7:C7"/>
    <mergeCell ref="B8:C8"/>
    <mergeCell ref="D5:D6"/>
    <mergeCell ref="E5:E6"/>
    <mergeCell ref="F5:F6"/>
    <mergeCell ref="D8:H8"/>
    <mergeCell ref="J8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7"/>
  <sheetViews>
    <sheetView zoomScale="80" zoomScaleNormal="80" workbookViewId="0">
      <selection activeCell="J18" sqref="J18"/>
    </sheetView>
  </sheetViews>
  <sheetFormatPr baseColWidth="10" defaultRowHeight="15" x14ac:dyDescent="0.25"/>
  <cols>
    <col min="2" max="2" width="7.42578125" customWidth="1"/>
    <col min="3" max="3" width="34.7109375" customWidth="1"/>
    <col min="4" max="6" width="16.5703125" customWidth="1"/>
    <col min="16" max="16" width="16.28515625" customWidth="1"/>
  </cols>
  <sheetData>
    <row r="4" spans="2:17" ht="15.75" thickBot="1" x14ac:dyDescent="0.3">
      <c r="B4" s="191"/>
      <c r="C4" s="191"/>
      <c r="D4" s="191"/>
      <c r="E4" s="191"/>
      <c r="F4" s="191"/>
      <c r="G4" s="191"/>
      <c r="H4" s="191"/>
      <c r="I4" s="191"/>
      <c r="J4" s="191"/>
    </row>
    <row r="5" spans="2:17" ht="21" customHeight="1" thickBot="1" x14ac:dyDescent="0.3">
      <c r="B5" s="417" t="s">
        <v>14</v>
      </c>
      <c r="C5" s="418"/>
      <c r="D5" s="406" t="s">
        <v>75</v>
      </c>
      <c r="E5" s="406" t="s">
        <v>76</v>
      </c>
      <c r="F5" s="406" t="s">
        <v>77</v>
      </c>
      <c r="G5" s="420" t="s">
        <v>67</v>
      </c>
      <c r="H5" s="419" t="s">
        <v>66</v>
      </c>
      <c r="J5" s="191"/>
      <c r="K5" s="333" t="s">
        <v>26</v>
      </c>
      <c r="L5" s="334"/>
      <c r="M5" s="344" t="s">
        <v>73</v>
      </c>
      <c r="N5" s="345"/>
      <c r="O5" s="346"/>
      <c r="P5" s="330" t="s">
        <v>31</v>
      </c>
      <c r="Q5" s="330"/>
    </row>
    <row r="6" spans="2:17" ht="15.75" thickBot="1" x14ac:dyDescent="0.3">
      <c r="B6" s="417"/>
      <c r="C6" s="418"/>
      <c r="D6" s="406"/>
      <c r="E6" s="406"/>
      <c r="F6" s="406"/>
      <c r="G6" s="420"/>
      <c r="H6" s="419"/>
      <c r="J6" s="191"/>
      <c r="K6" s="450" t="s">
        <v>67</v>
      </c>
      <c r="L6" s="13" t="s">
        <v>66</v>
      </c>
      <c r="M6" s="195">
        <v>2014</v>
      </c>
      <c r="N6" s="196">
        <v>2013</v>
      </c>
      <c r="O6" s="196">
        <v>2010</v>
      </c>
      <c r="P6" s="330"/>
      <c r="Q6" s="330"/>
    </row>
    <row r="7" spans="2:17" ht="21.75" thickBot="1" x14ac:dyDescent="0.4">
      <c r="B7" s="231" t="s">
        <v>1</v>
      </c>
      <c r="C7" s="232"/>
      <c r="D7" s="88">
        <f>Mines!O46</f>
        <v>1196.7460000000001</v>
      </c>
      <c r="E7" s="88">
        <f>Mines!N46</f>
        <v>514.65200000000004</v>
      </c>
      <c r="F7" s="88">
        <f>Mines!M46</f>
        <v>630.15800000000002</v>
      </c>
      <c r="G7" s="240">
        <f>F7/D7-1</f>
        <v>-0.47344047943339695</v>
      </c>
      <c r="H7" s="240">
        <f>F7/E7-1</f>
        <v>0.22443515229708622</v>
      </c>
      <c r="J7" s="191"/>
      <c r="K7" s="451">
        <v>-47.344047943339696</v>
      </c>
      <c r="L7" s="287">
        <v>22.443515229708609</v>
      </c>
      <c r="M7" s="90">
        <v>630.15800000000002</v>
      </c>
      <c r="N7" s="91">
        <v>514.65200000000004</v>
      </c>
      <c r="O7" s="92">
        <v>1196.7460000000001</v>
      </c>
      <c r="P7" s="309" t="s">
        <v>18</v>
      </c>
      <c r="Q7" s="310"/>
    </row>
    <row r="8" spans="2:17" ht="21" x14ac:dyDescent="0.35">
      <c r="B8" s="190" t="s">
        <v>2</v>
      </c>
      <c r="C8" s="190"/>
      <c r="D8" s="461"/>
      <c r="E8" s="462"/>
      <c r="F8" s="462"/>
      <c r="G8" s="462"/>
      <c r="H8" s="463"/>
      <c r="J8" s="191"/>
      <c r="K8" s="464"/>
      <c r="L8" s="465"/>
      <c r="M8" s="465"/>
      <c r="N8" s="465"/>
      <c r="O8" s="466"/>
      <c r="P8" s="307" t="s">
        <v>5</v>
      </c>
      <c r="Q8" s="308"/>
    </row>
    <row r="9" spans="2:17" ht="18.75" x14ac:dyDescent="0.3">
      <c r="B9" s="246"/>
      <c r="C9" s="247" t="s">
        <v>6</v>
      </c>
      <c r="D9" s="459">
        <f>Mines!O48</f>
        <v>18.292000000000002</v>
      </c>
      <c r="E9" s="459">
        <f>Mines!N48</f>
        <v>14.222</v>
      </c>
      <c r="F9" s="459">
        <f>Mines!M48</f>
        <v>21.928000000000001</v>
      </c>
      <c r="G9" s="460">
        <f>F9/D9-1</f>
        <v>0.19877542094904865</v>
      </c>
      <c r="H9" s="255">
        <f>F9/E9-1</f>
        <v>0.54183659119673755</v>
      </c>
      <c r="J9" s="191"/>
      <c r="K9" s="452">
        <v>19.877542094904868</v>
      </c>
      <c r="L9" s="279">
        <v>54.183659119673756</v>
      </c>
      <c r="M9" s="277">
        <v>21.928000000000001</v>
      </c>
      <c r="N9" s="277">
        <v>14.222</v>
      </c>
      <c r="O9" s="277">
        <v>18.292000000000002</v>
      </c>
      <c r="P9" s="305" t="s">
        <v>10</v>
      </c>
      <c r="Q9" s="306"/>
    </row>
    <row r="10" spans="2:17" ht="18.75" x14ac:dyDescent="0.3">
      <c r="B10" s="246"/>
      <c r="C10" s="249" t="s">
        <v>8</v>
      </c>
      <c r="D10" s="459">
        <f>Mines!O50</f>
        <v>7.2649999999999997</v>
      </c>
      <c r="E10" s="459">
        <f>Mines!N50</f>
        <v>5.2320000000000002</v>
      </c>
      <c r="F10" s="459">
        <f>Mines!M50</f>
        <v>7.6</v>
      </c>
      <c r="G10" s="460">
        <f>F10/D10-1</f>
        <v>4.611149346180321E-2</v>
      </c>
      <c r="H10" s="255">
        <f>F10/E10-1</f>
        <v>0.45259938837920477</v>
      </c>
      <c r="J10" s="191"/>
      <c r="K10" s="452">
        <v>-80.448717948717956</v>
      </c>
      <c r="L10" s="52">
        <v>-78.175313059033982</v>
      </c>
      <c r="M10" s="277">
        <v>0.48799999999999999</v>
      </c>
      <c r="N10" s="277">
        <v>2.2360000000000002</v>
      </c>
      <c r="O10" s="277">
        <v>2.496</v>
      </c>
      <c r="P10" s="299" t="s">
        <v>23</v>
      </c>
      <c r="Q10" s="300"/>
    </row>
    <row r="11" spans="2:17" ht="18.75" x14ac:dyDescent="0.3">
      <c r="B11" s="246"/>
      <c r="C11" s="249" t="s">
        <v>9</v>
      </c>
      <c r="D11" s="459">
        <f>Mines!O51</f>
        <v>3.4870000000000001</v>
      </c>
      <c r="E11" s="459">
        <f>Mines!N51</f>
        <v>3.9329999999999998</v>
      </c>
      <c r="F11" s="459">
        <f>Mines!M51</f>
        <v>2.9940000000000002</v>
      </c>
      <c r="G11" s="460">
        <f>F11/D11-1</f>
        <v>-0.14138227702896466</v>
      </c>
      <c r="H11" s="256">
        <f>F11/E11-1</f>
        <v>-0.23874904652936679</v>
      </c>
      <c r="J11" s="191"/>
      <c r="K11" s="452">
        <v>4.6111493461803166</v>
      </c>
      <c r="L11" s="279">
        <v>45.25993883792048</v>
      </c>
      <c r="M11" s="277">
        <v>7.6</v>
      </c>
      <c r="N11" s="277">
        <v>5.2320000000000002</v>
      </c>
      <c r="O11" s="277">
        <v>7.2649999999999997</v>
      </c>
      <c r="P11" s="299" t="s">
        <v>11</v>
      </c>
      <c r="Q11" s="300"/>
    </row>
    <row r="12" spans="2:17" ht="18.75" x14ac:dyDescent="0.3">
      <c r="B12" s="250"/>
      <c r="C12" s="249" t="s">
        <v>7</v>
      </c>
      <c r="D12" s="459">
        <f>Mines!O49</f>
        <v>2.496</v>
      </c>
      <c r="E12" s="459">
        <f>Mines!N49</f>
        <v>2.2360000000000002</v>
      </c>
      <c r="F12" s="459">
        <f>Mines!M49</f>
        <v>0.48799999999999999</v>
      </c>
      <c r="G12" s="460">
        <f>F12/D12-1</f>
        <v>-0.80448717948717952</v>
      </c>
      <c r="H12" s="256">
        <f>F12/E12-1</f>
        <v>-0.78175313059033991</v>
      </c>
      <c r="J12" s="191"/>
      <c r="K12" s="452">
        <v>-14.138227702896469</v>
      </c>
      <c r="L12" s="52">
        <v>-23.874904652936682</v>
      </c>
      <c r="M12" s="277">
        <v>2.9940000000000002</v>
      </c>
      <c r="N12" s="277">
        <v>3.9329999999999998</v>
      </c>
      <c r="O12" s="277">
        <v>3.4870000000000001</v>
      </c>
      <c r="P12" s="299" t="s">
        <v>12</v>
      </c>
      <c r="Q12" s="300"/>
    </row>
    <row r="13" spans="2:17" ht="19.5" thickBot="1" x14ac:dyDescent="0.35">
      <c r="B13" s="250"/>
      <c r="C13" s="249" t="s">
        <v>27</v>
      </c>
      <c r="D13" s="459">
        <f>Mines!O52</f>
        <v>0.89500000000000002</v>
      </c>
      <c r="E13" s="459">
        <f>Mines!N52</f>
        <v>0.67600000000000005</v>
      </c>
      <c r="F13" s="459">
        <f>Mines!M52</f>
        <v>0.52349999999999997</v>
      </c>
      <c r="G13" s="460">
        <f>F13/D13-1</f>
        <v>-0.41508379888268165</v>
      </c>
      <c r="H13" s="256">
        <f>F13/E13-1</f>
        <v>-0.22559171597633143</v>
      </c>
      <c r="J13" s="191"/>
      <c r="K13" s="453">
        <v>-41.508379888268159</v>
      </c>
      <c r="L13" s="180">
        <v>-22.559171597633146</v>
      </c>
      <c r="M13" s="457">
        <v>0.52349999999999997</v>
      </c>
      <c r="N13" s="457">
        <v>0.67600000000000005</v>
      </c>
      <c r="O13" s="458">
        <v>0.89500000000000002</v>
      </c>
      <c r="P13" s="293" t="s">
        <v>24</v>
      </c>
      <c r="Q13" s="294"/>
    </row>
    <row r="14" spans="2:17" ht="21.75" thickBot="1" x14ac:dyDescent="0.4">
      <c r="B14" s="29"/>
      <c r="C14" s="29"/>
      <c r="D14" s="193"/>
      <c r="E14" s="193"/>
      <c r="F14" s="193"/>
      <c r="G14" s="30"/>
      <c r="H14" s="30"/>
      <c r="J14" s="191"/>
      <c r="K14" s="454">
        <v>-0.28901061752787827</v>
      </c>
      <c r="L14" s="455">
        <v>-0.46209163934319808</v>
      </c>
      <c r="M14" s="456">
        <v>73.116436031000006</v>
      </c>
      <c r="N14" s="456">
        <v>135.92730914559999</v>
      </c>
      <c r="O14" s="456">
        <v>102.837592</v>
      </c>
      <c r="P14" s="295" t="s">
        <v>34</v>
      </c>
      <c r="Q14" s="296"/>
    </row>
    <row r="15" spans="2:17" ht="21" x14ac:dyDescent="0.35">
      <c r="B15" s="470" t="s">
        <v>39</v>
      </c>
      <c r="C15" s="471"/>
      <c r="D15" s="467">
        <f>Mines!O9</f>
        <v>102.837592</v>
      </c>
      <c r="E15" s="467">
        <f>Mines!N9</f>
        <v>135.92730914559999</v>
      </c>
      <c r="F15" s="467">
        <f>Mines!M9</f>
        <v>73.116436031000006</v>
      </c>
      <c r="G15" s="468">
        <f>F15/D15-1</f>
        <v>-0.28901061752787827</v>
      </c>
      <c r="H15" s="469">
        <f>F15/E15-1</f>
        <v>-0.46209163934319808</v>
      </c>
      <c r="J15" s="191"/>
    </row>
    <row r="16" spans="2:17" x14ac:dyDescent="0.25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 x14ac:dyDescent="0.25">
      <c r="B17" s="191"/>
      <c r="C17" s="191"/>
      <c r="D17" s="191"/>
      <c r="E17" s="191"/>
      <c r="F17" s="191"/>
      <c r="G17" s="191"/>
      <c r="H17" s="191"/>
      <c r="I17" s="191"/>
      <c r="J17" s="191"/>
    </row>
    <row r="18" spans="2:10" x14ac:dyDescent="0.25">
      <c r="B18" s="191"/>
      <c r="C18" s="191"/>
      <c r="D18" s="191"/>
      <c r="E18" s="191"/>
      <c r="F18" s="191"/>
      <c r="G18" s="191"/>
      <c r="H18" s="191"/>
      <c r="I18" s="191"/>
      <c r="J18" s="191"/>
    </row>
    <row r="19" spans="2:10" x14ac:dyDescent="0.25">
      <c r="B19" s="191"/>
      <c r="C19" s="191"/>
      <c r="D19" s="191"/>
      <c r="E19" s="191"/>
      <c r="F19" s="191"/>
      <c r="G19" s="191"/>
      <c r="H19" s="191"/>
      <c r="I19" s="191"/>
      <c r="J19" s="191"/>
    </row>
    <row r="20" spans="2:10" x14ac:dyDescent="0.25">
      <c r="B20" s="191"/>
      <c r="C20" s="191"/>
      <c r="D20" s="191"/>
      <c r="E20" s="191"/>
      <c r="F20" s="191"/>
      <c r="G20" s="191"/>
      <c r="H20" s="191"/>
      <c r="I20" s="191"/>
      <c r="J20" s="191"/>
    </row>
    <row r="21" spans="2:10" x14ac:dyDescent="0.25">
      <c r="B21" s="191"/>
      <c r="C21" s="191"/>
      <c r="D21" s="191"/>
      <c r="E21" s="191"/>
      <c r="F21" s="191"/>
      <c r="G21" s="191"/>
      <c r="H21" s="191"/>
      <c r="I21" s="191"/>
      <c r="J21" s="191"/>
    </row>
    <row r="22" spans="2:10" x14ac:dyDescent="0.25">
      <c r="B22" s="191"/>
      <c r="C22" s="191"/>
      <c r="D22" s="191"/>
      <c r="E22" s="191"/>
      <c r="F22" s="191"/>
      <c r="G22" s="191"/>
      <c r="H22" s="191"/>
      <c r="I22" s="191"/>
      <c r="J22" s="191"/>
    </row>
    <row r="23" spans="2:10" x14ac:dyDescent="0.25">
      <c r="B23" s="191"/>
      <c r="C23" s="191"/>
      <c r="D23" s="191"/>
      <c r="E23" s="191"/>
      <c r="F23" s="191"/>
      <c r="G23" s="191"/>
      <c r="H23" s="191"/>
      <c r="I23" s="191"/>
      <c r="J23" s="191"/>
    </row>
    <row r="24" spans="2:10" x14ac:dyDescent="0.25">
      <c r="B24" s="191"/>
      <c r="C24" s="191"/>
      <c r="D24" s="191"/>
      <c r="E24" s="191"/>
      <c r="F24" s="191"/>
      <c r="G24" s="191"/>
      <c r="H24" s="191"/>
      <c r="I24" s="191"/>
      <c r="J24" s="191"/>
    </row>
    <row r="25" spans="2:10" x14ac:dyDescent="0.25">
      <c r="B25" s="191"/>
      <c r="C25" s="191"/>
      <c r="D25" s="191"/>
      <c r="E25" s="191"/>
      <c r="F25" s="191"/>
      <c r="G25" s="191"/>
      <c r="H25" s="191"/>
      <c r="I25" s="191"/>
      <c r="J25" s="191"/>
    </row>
    <row r="26" spans="2:10" x14ac:dyDescent="0.25">
      <c r="B26" s="191"/>
      <c r="C26" s="191"/>
      <c r="D26" s="191"/>
      <c r="E26" s="191"/>
      <c r="F26" s="191"/>
      <c r="G26" s="191"/>
      <c r="H26" s="191"/>
      <c r="I26" s="191"/>
      <c r="J26" s="191"/>
    </row>
    <row r="27" spans="2:10" x14ac:dyDescent="0.25">
      <c r="B27" s="191"/>
      <c r="C27" s="191"/>
      <c r="D27" s="191"/>
      <c r="E27" s="191"/>
      <c r="F27" s="191"/>
      <c r="G27" s="191"/>
      <c r="H27" s="191"/>
      <c r="I27" s="191"/>
      <c r="J27" s="191"/>
    </row>
  </sheetData>
  <mergeCells count="19">
    <mergeCell ref="D8:H8"/>
    <mergeCell ref="K8:O8"/>
    <mergeCell ref="P11:Q11"/>
    <mergeCell ref="P12:Q12"/>
    <mergeCell ref="P13:Q13"/>
    <mergeCell ref="P14:Q14"/>
    <mergeCell ref="P5:Q6"/>
    <mergeCell ref="P7:Q7"/>
    <mergeCell ref="P8:Q8"/>
    <mergeCell ref="P9:Q9"/>
    <mergeCell ref="P10:Q10"/>
    <mergeCell ref="K5:L5"/>
    <mergeCell ref="M5:O5"/>
    <mergeCell ref="B5:C6"/>
    <mergeCell ref="H5:H6"/>
    <mergeCell ref="G5:G6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Mines</vt:lpstr>
      <vt:lpstr>CA</vt:lpstr>
      <vt:lpstr>PRODUCTION</vt:lpstr>
      <vt:lpstr>EXPORT</vt:lpstr>
      <vt:lpstr>ventes locales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jalila fadhlaoui</dc:creator>
  <cp:lastModifiedBy>ASUS</cp:lastModifiedBy>
  <cp:lastPrinted>2014-02-25T09:57:29Z</cp:lastPrinted>
  <dcterms:created xsi:type="dcterms:W3CDTF">2013-06-10T12:33:09Z</dcterms:created>
  <dcterms:modified xsi:type="dcterms:W3CDTF">2014-05-13T05:03:23Z</dcterms:modified>
</cp:coreProperties>
</file>